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DieseArbeitsmappe" defaultThemeVersion="124226"/>
  <mc:AlternateContent xmlns:mc="http://schemas.openxmlformats.org/markup-compatibility/2006">
    <mc:Choice Requires="x15">
      <x15ac:absPath xmlns:x15ac="http://schemas.microsoft.com/office/spreadsheetml/2010/11/ac" url="\\a8ha-cfs-user.infra.be.ch\a8ha-cfs-user\UserHomes\mfbd\Z_Systems\RedirectedFolders\Desktop\"/>
    </mc:Choice>
  </mc:AlternateContent>
  <xr:revisionPtr revIDLastSave="0" documentId="13_ncr:1_{849665CD-BAA0-4DC7-8536-352591948318}" xr6:coauthVersionLast="47" xr6:coauthVersionMax="47" xr10:uidLastSave="{00000000-0000-0000-0000-000000000000}"/>
  <workbookProtection workbookAlgorithmName="SHA-512" workbookHashValue="9aW9jAy484dGM/1W/gieNqZa+eitej9xB/vBFffwqCnv2tK5fQu2pq+62ehGcowMbKGl/h0GWmss4WvWnOsYmg==" workbookSaltValue="PQy1g+iwNAhKv7VT0zn2Vg==" workbookSpinCount="100000" lockStructure="1"/>
  <bookViews>
    <workbookView xWindow="-108" yWindow="-108" windowWidth="23256" windowHeight="12576" tabRatio="808" xr2:uid="{00000000-000D-0000-FFFF-FFFF00000000}"/>
  </bookViews>
  <sheets>
    <sheet name="1 Récapitulation" sheetId="1" r:id="rId1"/>
    <sheet name="tableImport" sheetId="30" state="hidden" r:id="rId2"/>
    <sheet name="tableImportPivot" sheetId="31" state="hidden" r:id="rId3"/>
    <sheet name="2 Aide matérielle" sheetId="2" r:id="rId4"/>
    <sheet name="2a Bénéficiaires" sheetId="3" r:id="rId5"/>
    <sheet name="2b Synthèse par commune" sheetId="4" r:id="rId6"/>
    <sheet name="2c Liste de contrôle" sheetId="5" r:id="rId7"/>
    <sheet name="2d Coûts particuliers" sheetId="6" r:id="rId8"/>
    <sheet name="2e Soins médicaux d'urgence" sheetId="25" r:id="rId9"/>
    <sheet name="3 Pensions alimentaires" sheetId="7" r:id="rId10"/>
    <sheet name="3a Synthèse par commune" sheetId="9" r:id="rId11"/>
    <sheet name="4 Forfaits par cas" sheetId="17" r:id="rId12"/>
    <sheet name="4a Cas consultation préventive" sheetId="34" r:id="rId13"/>
    <sheet name="4b Cas recouvrement et avances" sheetId="35" r:id="rId14"/>
    <sheet name="7 Animation de jeunesse" sheetId="13" r:id="rId15"/>
    <sheet name="8 Hébergement" sheetId="14" r:id="rId16"/>
  </sheets>
  <externalReferences>
    <externalReference r:id="rId17"/>
  </externalReferences>
  <definedNames>
    <definedName name="_GoBack" localSheetId="1">tableImport!$F$443</definedName>
    <definedName name="_xlnm.Print_Area" localSheetId="0">'1 Récapitulation'!$A$1:$M$45</definedName>
    <definedName name="_xlnm.Print_Area" localSheetId="3">'2 Aide matérielle'!$A$1:$D$90</definedName>
    <definedName name="_xlnm.Print_Area" localSheetId="4">'2a Bénéficiaires'!$A$1:$J$80</definedName>
    <definedName name="_xlnm.Print_Area" localSheetId="5">'2b Synthèse par commune'!$A$1:$L$61</definedName>
    <definedName name="_xlnm.Print_Area" localSheetId="6">'2c Liste de contrôle'!$A$1:$H$54</definedName>
    <definedName name="_xlnm.Print_Area" localSheetId="7">'2d Coûts particuliers'!$A$1:$B$42</definedName>
    <definedName name="_xlnm.Print_Area" localSheetId="8">'2e Soins médicaux d''urgence'!$A$1:$C$66</definedName>
    <definedName name="_xlnm.Print_Area" localSheetId="9">'3 Pensions alimentaires'!$A$1:$D$56</definedName>
    <definedName name="_xlnm.Print_Area" localSheetId="10">'3a Synthèse par commune'!$A$1:$G$53</definedName>
    <definedName name="_xlnm.Print_Area" localSheetId="11">'4 Forfaits par cas'!$A$1:$F$149</definedName>
    <definedName name="_xlnm.Print_Area" localSheetId="12">'4a Cas consultation préventive'!$A$1:$H$86</definedName>
    <definedName name="_xlnm.Print_Area" localSheetId="13">'4b Cas recouvrement et avances'!$A$1:$J$190</definedName>
    <definedName name="_xlnm.Print_Area" localSheetId="14">'7 Animation de jeunesse'!$A$1:$D$82</definedName>
    <definedName name="_xlnm.Print_Area" localSheetId="15">'8 Hébergement'!$A$1:$F$60</definedName>
    <definedName name="_xlnm.Print_Titles" localSheetId="5">'2b Synthèse par commune'!$14:$14</definedName>
    <definedName name="nrAbrechnungsstelle" localSheetId="1">tableImport!$A$1</definedName>
    <definedName name="nrAngeschlosseneGemeinde" localSheetId="1">tableImport!$B$1</definedName>
    <definedName name="refProdukt" localSheetId="1">tableImport!$E$1</definedName>
    <definedName name="refWertelement" localSheetId="1">tableImport!$F$1</definedName>
    <definedName name="rtI.Anker2b">tableImport!$O$2</definedName>
    <definedName name="rtI.Anker3a">tableImport!$O$3</definedName>
    <definedName name="tblImport">tableImport!$A$1:$L$471</definedName>
    <definedName name="wert" localSheetId="1">tableImport!$G$1</definedName>
    <definedName name="Z_3FC92738_033B_4B68_8121_D7E87081064C_.wvu.PrintArea" localSheetId="0" hidden="1">'1 Récapitulation'!$A$1:$K$50</definedName>
    <definedName name="Z_3FC92738_033B_4B68_8121_D7E87081064C_.wvu.PrintArea" localSheetId="3" hidden="1">'2 Aide matérielle'!$A$1:$D$83</definedName>
    <definedName name="Z_3FC92738_033B_4B68_8121_D7E87081064C_.wvu.PrintArea" localSheetId="4" hidden="1">'2a Bénéficiaires'!$A$1:$I$80</definedName>
    <definedName name="Z_3FC92738_033B_4B68_8121_D7E87081064C_.wvu.PrintArea" localSheetId="5" hidden="1">'2b Synthèse par commune'!$A$1:$K$61</definedName>
    <definedName name="Z_3FC92738_033B_4B68_8121_D7E87081064C_.wvu.PrintArea" localSheetId="6" hidden="1">'2c Liste de contrôle'!#REF!</definedName>
    <definedName name="Z_3FC92738_033B_4B68_8121_D7E87081064C_.wvu.PrintArea" localSheetId="7" hidden="1">'2d Coûts particuliers'!$A$1:$B$42</definedName>
    <definedName name="Z_3FC92738_033B_4B68_8121_D7E87081064C_.wvu.PrintArea" localSheetId="8" hidden="1">'2e Soins médicaux d''urgence'!$A$1:$B$70</definedName>
    <definedName name="Z_3FC92738_033B_4B68_8121_D7E87081064C_.wvu.PrintArea" localSheetId="9" hidden="1">'3 Pensions alimentaires'!$A$1:$D$56</definedName>
    <definedName name="Z_3FC92738_033B_4B68_8121_D7E87081064C_.wvu.PrintArea" localSheetId="10" hidden="1">'3a Synthèse par commune'!$A$1:$G$53</definedName>
    <definedName name="Z_3FC92738_033B_4B68_8121_D7E87081064C_.wvu.PrintArea" localSheetId="11" hidden="1">'4 Forfaits par cas'!$A$1:$F$150</definedName>
    <definedName name="Z_3FC92738_033B_4B68_8121_D7E87081064C_.wvu.PrintArea" localSheetId="14" hidden="1">'7 Animation de jeunesse'!$A$1:$D$82</definedName>
    <definedName name="Z_3FC92738_033B_4B68_8121_D7E87081064C_.wvu.PrintArea" localSheetId="15" hidden="1">'8 Hébergement'!$A$1:$G$62</definedName>
    <definedName name="Z_3FC92738_033B_4B68_8121_D7E87081064C_.wvu.PrintTitles" localSheetId="6" hidden="1">'2c Liste de contrôle'!#REF!</definedName>
    <definedName name="Z_E083F7BB_7916_4ABB_BDC7_6042584E3606_.wvu.PrintArea" localSheetId="0" hidden="1">'1 Récapitulation'!$A$1:$K$50</definedName>
    <definedName name="Z_E083F7BB_7916_4ABB_BDC7_6042584E3606_.wvu.PrintArea" localSheetId="3" hidden="1">'2 Aide matérielle'!$A$1:$D$83</definedName>
    <definedName name="Z_E083F7BB_7916_4ABB_BDC7_6042584E3606_.wvu.PrintArea" localSheetId="4" hidden="1">'2a Bénéficiaires'!$A$1:$I$80</definedName>
    <definedName name="Z_E083F7BB_7916_4ABB_BDC7_6042584E3606_.wvu.PrintArea" localSheetId="5" hidden="1">'2b Synthèse par commune'!$A$1:$K$61</definedName>
    <definedName name="Z_E083F7BB_7916_4ABB_BDC7_6042584E3606_.wvu.PrintArea" localSheetId="6" hidden="1">'2c Liste de contrôle'!#REF!</definedName>
    <definedName name="Z_E083F7BB_7916_4ABB_BDC7_6042584E3606_.wvu.PrintArea" localSheetId="7" hidden="1">'2d Coûts particuliers'!$A$1:$B$42</definedName>
    <definedName name="Z_E083F7BB_7916_4ABB_BDC7_6042584E3606_.wvu.PrintArea" localSheetId="8" hidden="1">'2e Soins médicaux d''urgence'!$A$1:$B$70</definedName>
    <definedName name="Z_E083F7BB_7916_4ABB_BDC7_6042584E3606_.wvu.PrintArea" localSheetId="9" hidden="1">'3 Pensions alimentaires'!$A$1:$D$56</definedName>
    <definedName name="Z_E083F7BB_7916_4ABB_BDC7_6042584E3606_.wvu.PrintArea" localSheetId="10" hidden="1">'3a Synthèse par commune'!$A$1:$G$53</definedName>
    <definedName name="Z_E083F7BB_7916_4ABB_BDC7_6042584E3606_.wvu.PrintArea" localSheetId="11" hidden="1">'4 Forfaits par cas'!$A$1:$F$150</definedName>
    <definedName name="Z_E083F7BB_7916_4ABB_BDC7_6042584E3606_.wvu.PrintArea" localSheetId="14" hidden="1">'7 Animation de jeunesse'!$A$1:$D$82</definedName>
    <definedName name="Z_E083F7BB_7916_4ABB_BDC7_6042584E3606_.wvu.PrintArea" localSheetId="15" hidden="1">'8 Hébergement'!$A$1:$G$62</definedName>
    <definedName name="Z_E083F7BB_7916_4ABB_BDC7_6042584E3606_.wvu.PrintTitles" localSheetId="6" hidden="1">'2c Liste de contrôle'!#REF!</definedName>
    <definedName name="Z_ED1EFE49_5A07_488C_96A3_3B9FD4475C11_.wvu.PrintArea" localSheetId="0" hidden="1">'1 Récapitulation'!$A$1:$K$50</definedName>
    <definedName name="Z_ED1EFE49_5A07_488C_96A3_3B9FD4475C11_.wvu.PrintArea" localSheetId="3" hidden="1">'2 Aide matérielle'!$A$1:$D$83</definedName>
    <definedName name="Z_ED1EFE49_5A07_488C_96A3_3B9FD4475C11_.wvu.PrintArea" localSheetId="4" hidden="1">'2a Bénéficiaires'!$A$1:$I$80</definedName>
    <definedName name="Z_ED1EFE49_5A07_488C_96A3_3B9FD4475C11_.wvu.PrintArea" localSheetId="5" hidden="1">'2b Synthèse par commune'!$A$1:$K$61</definedName>
    <definedName name="Z_ED1EFE49_5A07_488C_96A3_3B9FD4475C11_.wvu.PrintArea" localSheetId="6" hidden="1">'2c Liste de contrôle'!#REF!</definedName>
    <definedName name="Z_ED1EFE49_5A07_488C_96A3_3B9FD4475C11_.wvu.PrintArea" localSheetId="7" hidden="1">'2d Coûts particuliers'!$A$1:$B$42</definedName>
    <definedName name="Z_ED1EFE49_5A07_488C_96A3_3B9FD4475C11_.wvu.PrintArea" localSheetId="8" hidden="1">'2e Soins médicaux d''urgence'!$A$1:$B$70</definedName>
    <definedName name="Z_ED1EFE49_5A07_488C_96A3_3B9FD4475C11_.wvu.PrintArea" localSheetId="9" hidden="1">'3 Pensions alimentaires'!$A$1:$D$56</definedName>
    <definedName name="Z_ED1EFE49_5A07_488C_96A3_3B9FD4475C11_.wvu.PrintArea" localSheetId="10" hidden="1">'3a Synthèse par commune'!$A$1:$G$53</definedName>
    <definedName name="Z_ED1EFE49_5A07_488C_96A3_3B9FD4475C11_.wvu.PrintArea" localSheetId="11" hidden="1">'4 Forfaits par cas'!$A$1:$F$150</definedName>
    <definedName name="Z_ED1EFE49_5A07_488C_96A3_3B9FD4475C11_.wvu.PrintArea" localSheetId="14" hidden="1">'7 Animation de jeunesse'!$A$1:$D$82</definedName>
    <definedName name="Z_ED1EFE49_5A07_488C_96A3_3B9FD4475C11_.wvu.PrintArea" localSheetId="15" hidden="1">'8 Hébergement'!$A$1:$G$62</definedName>
    <definedName name="Z_ED1EFE49_5A07_488C_96A3_3B9FD4475C11_.wvu.PrintTitles" localSheetId="6" hidden="1">'2c Liste de contrôle'!#REF!</definedName>
  </definedNames>
  <calcPr calcId="191029"/>
  <customWorkbookViews>
    <customWorkbookView name="Janine Heldner - Persönliche Ansicht" guid="{3FC92738-033B-4B68-8121-D7E87081064C}" mergeInterval="0" personalView="1" maximized="1" windowWidth="1916" windowHeight="928" tabRatio="926" activeSheetId="10"/>
    <customWorkbookView name="Maurus Bärlocher - Persönliche Ansicht" guid="{E083F7BB-7916-4ABB-BDC7-6042584E3606}" mergeInterval="0" personalView="1" maximized="1" windowWidth="1920" windowHeight="859" tabRatio="926" activeSheetId="10" showComments="commIndAndComment"/>
    <customWorkbookView name="Markus Zbinden - Persönliche Ansicht" guid="{ED1EFE49-5A07-488C-96A3-3B9FD4475C11}" mergeInterval="0" personalView="1" maximized="1" windowWidth="1916" windowHeight="928" tabRatio="926" activeSheetId="10"/>
  </customWorkbookViews>
  <pivotCaches>
    <pivotCache cacheId="8"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4" l="1"/>
  <c r="F34" i="14"/>
  <c r="E112" i="17"/>
  <c r="E102" i="17"/>
  <c r="C7" i="35" l="1"/>
  <c r="E188" i="35"/>
  <c r="F188" i="35"/>
  <c r="G188" i="35"/>
  <c r="H188" i="35"/>
  <c r="I188" i="35"/>
  <c r="J188" i="35"/>
  <c r="D86" i="34"/>
  <c r="C86" i="34"/>
  <c r="B86" i="34"/>
  <c r="B6" i="34"/>
  <c r="D112" i="17" l="1"/>
  <c r="F112" i="17" s="1"/>
  <c r="C63" i="25" l="1"/>
  <c r="C64" i="25"/>
  <c r="C65" i="25"/>
  <c r="D102" i="17" l="1"/>
  <c r="F102" i="17" s="1"/>
  <c r="F4" i="14" l="1"/>
  <c r="C4" i="13"/>
  <c r="E7" i="17"/>
  <c r="D11" i="9"/>
  <c r="C8" i="7"/>
  <c r="B10" i="25"/>
  <c r="B7" i="6"/>
  <c r="D11" i="4" l="1"/>
  <c r="B6" i="3"/>
  <c r="C7" i="2" l="1"/>
  <c r="G481" i="30" l="1"/>
  <c r="H481" i="30" s="1"/>
  <c r="G480" i="30"/>
  <c r="H480" i="30" s="1"/>
  <c r="G479" i="30"/>
  <c r="B479" i="30" s="1"/>
  <c r="G478" i="30"/>
  <c r="H478" i="30" s="1"/>
  <c r="G477" i="30"/>
  <c r="H477" i="30" s="1"/>
  <c r="G476" i="30"/>
  <c r="H476" i="30" s="1"/>
  <c r="G475" i="30"/>
  <c r="H475" i="30" s="1"/>
  <c r="G474" i="30"/>
  <c r="H474" i="30" s="1"/>
  <c r="A485" i="30"/>
  <c r="A484" i="30"/>
  <c r="A483" i="30"/>
  <c r="A482" i="30"/>
  <c r="A481" i="30"/>
  <c r="A480" i="30"/>
  <c r="A479" i="30"/>
  <c r="A478" i="30"/>
  <c r="A477" i="30"/>
  <c r="A476" i="30"/>
  <c r="A475" i="30"/>
  <c r="A474" i="30"/>
  <c r="B476" i="30" l="1"/>
  <c r="B475" i="30"/>
  <c r="B474" i="30"/>
  <c r="L481" i="30"/>
  <c r="K481" i="30"/>
  <c r="J481" i="30"/>
  <c r="I481" i="30"/>
  <c r="B481" i="30"/>
  <c r="L480" i="30"/>
  <c r="K480" i="30"/>
  <c r="J480" i="30"/>
  <c r="I480" i="30"/>
  <c r="B480" i="30"/>
  <c r="H479" i="30"/>
  <c r="K478" i="30"/>
  <c r="J478" i="30"/>
  <c r="I478" i="30"/>
  <c r="L478" i="30"/>
  <c r="B478" i="30"/>
  <c r="L477" i="30"/>
  <c r="K477" i="30"/>
  <c r="I477" i="30"/>
  <c r="J477" i="30"/>
  <c r="B477" i="30"/>
  <c r="K476" i="30"/>
  <c r="J476" i="30"/>
  <c r="I476" i="30"/>
  <c r="L476" i="30"/>
  <c r="K475" i="30"/>
  <c r="J475" i="30"/>
  <c r="I475" i="30"/>
  <c r="L475" i="30"/>
  <c r="L474" i="30"/>
  <c r="K474" i="30"/>
  <c r="J474" i="30"/>
  <c r="I474" i="30"/>
  <c r="J479" i="30" l="1"/>
  <c r="L479" i="30"/>
  <c r="I479" i="30"/>
  <c r="K479" i="30"/>
  <c r="D16" i="13" l="1"/>
  <c r="C15" i="25" l="1"/>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F60" i="17" l="1"/>
  <c r="F54" i="17"/>
  <c r="F41" i="17"/>
  <c r="F33" i="17"/>
  <c r="F34" i="17"/>
  <c r="F23" i="17"/>
  <c r="F35" i="17" l="1"/>
  <c r="F66" i="17" s="1"/>
  <c r="F42" i="17"/>
  <c r="F43" i="17" s="1"/>
  <c r="F45" i="17" s="1"/>
  <c r="G445" i="30"/>
  <c r="H445" i="30" s="1"/>
  <c r="L445" i="30" s="1"/>
  <c r="A448" i="30"/>
  <c r="A447" i="30"/>
  <c r="A446" i="30"/>
  <c r="A445" i="30"/>
  <c r="B445" i="30" l="1"/>
  <c r="I445" i="30"/>
  <c r="J445" i="30"/>
  <c r="K445" i="30"/>
  <c r="B66" i="25" l="1"/>
  <c r="B38" i="6" l="1"/>
  <c r="F21" i="1" l="1"/>
  <c r="G473" i="30"/>
  <c r="F116" i="17"/>
  <c r="G447" i="30"/>
  <c r="G446" i="30"/>
  <c r="H447" i="30" l="1"/>
  <c r="B447" i="30"/>
  <c r="H446" i="30"/>
  <c r="B446" i="30"/>
  <c r="G448" i="30"/>
  <c r="I447" i="30" l="1"/>
  <c r="K447" i="30"/>
  <c r="L447" i="30"/>
  <c r="J447" i="30"/>
  <c r="H448" i="30"/>
  <c r="B448" i="30"/>
  <c r="L446" i="30"/>
  <c r="I446" i="30"/>
  <c r="K446" i="30"/>
  <c r="J446" i="30"/>
  <c r="L448" i="30" l="1"/>
  <c r="I448" i="30"/>
  <c r="J448" i="30"/>
  <c r="K448" i="30"/>
  <c r="A472" i="30"/>
  <c r="F71" i="17" l="1"/>
  <c r="A473" i="30" l="1"/>
  <c r="B473" i="30" l="1"/>
  <c r="H473" i="30"/>
  <c r="J473" i="30" l="1"/>
  <c r="K473" i="30"/>
  <c r="L473" i="30"/>
  <c r="I473" i="30"/>
  <c r="F53" i="9"/>
  <c r="G53" i="9"/>
  <c r="E53" i="9"/>
  <c r="F27" i="1" s="1"/>
  <c r="F55" i="4"/>
  <c r="H20" i="1" s="1"/>
  <c r="G55" i="4"/>
  <c r="H55" i="4"/>
  <c r="J20" i="1" s="1"/>
  <c r="I55" i="4"/>
  <c r="J55" i="4"/>
  <c r="L20" i="1" s="1"/>
  <c r="E55" i="4"/>
  <c r="F20" i="1" s="1"/>
  <c r="F29" i="1" l="1"/>
  <c r="G27" i="1"/>
  <c r="F22" i="1"/>
  <c r="I20" i="1"/>
  <c r="K20" i="1"/>
  <c r="G20" i="1" l="1"/>
  <c r="G275" i="30"/>
  <c r="G465" i="30" l="1"/>
  <c r="G462" i="30"/>
  <c r="G460" i="30"/>
  <c r="G458" i="30"/>
  <c r="G457" i="30"/>
  <c r="G456" i="30"/>
  <c r="G455" i="30"/>
  <c r="G454" i="30"/>
  <c r="C14" i="25" l="1"/>
  <c r="A471" i="30" l="1"/>
  <c r="A470" i="30"/>
  <c r="A469" i="30"/>
  <c r="A468" i="30"/>
  <c r="A467" i="30"/>
  <c r="A466" i="30"/>
  <c r="A465" i="30"/>
  <c r="A464" i="30"/>
  <c r="A463" i="30"/>
  <c r="B462" i="30"/>
  <c r="A462" i="30"/>
  <c r="A461" i="30"/>
  <c r="A460" i="30"/>
  <c r="A459" i="30"/>
  <c r="B458" i="30"/>
  <c r="A458" i="30"/>
  <c r="B457" i="30"/>
  <c r="A457" i="30"/>
  <c r="B456" i="30"/>
  <c r="A456" i="30"/>
  <c r="B455" i="30"/>
  <c r="A455" i="30"/>
  <c r="B454" i="30"/>
  <c r="A454" i="30"/>
  <c r="A453" i="30"/>
  <c r="G452" i="30"/>
  <c r="B452" i="30" s="1"/>
  <c r="A452" i="30"/>
  <c r="A451" i="30"/>
  <c r="A450" i="30"/>
  <c r="A449" i="30"/>
  <c r="A444" i="30"/>
  <c r="G443" i="30"/>
  <c r="B443" i="30" s="1"/>
  <c r="A443" i="30"/>
  <c r="A442" i="30"/>
  <c r="A441" i="30"/>
  <c r="A440" i="30"/>
  <c r="G439" i="30"/>
  <c r="B439" i="30" s="1"/>
  <c r="A439" i="30"/>
  <c r="G438" i="30"/>
  <c r="B438" i="30" s="1"/>
  <c r="A438" i="30"/>
  <c r="A437" i="30"/>
  <c r="G436" i="30"/>
  <c r="B436" i="30" s="1"/>
  <c r="A436" i="30"/>
  <c r="G435" i="30"/>
  <c r="H435" i="30" s="1"/>
  <c r="A435" i="30"/>
  <c r="G434" i="30"/>
  <c r="A434" i="30"/>
  <c r="A433" i="30"/>
  <c r="A432" i="30"/>
  <c r="A431" i="30"/>
  <c r="A430" i="30"/>
  <c r="A429" i="30"/>
  <c r="A428" i="30"/>
  <c r="A427" i="30"/>
  <c r="A426" i="30"/>
  <c r="A425" i="30"/>
  <c r="A424" i="30"/>
  <c r="A423" i="30"/>
  <c r="A422" i="30"/>
  <c r="A421" i="30"/>
  <c r="A420" i="30"/>
  <c r="A419" i="30"/>
  <c r="A418" i="30"/>
  <c r="A417" i="30"/>
  <c r="A416" i="30"/>
  <c r="A415" i="30"/>
  <c r="A414" i="30"/>
  <c r="A413" i="30"/>
  <c r="A412" i="30"/>
  <c r="A411" i="30"/>
  <c r="A410" i="30"/>
  <c r="A409" i="30"/>
  <c r="A408" i="30"/>
  <c r="A407" i="30"/>
  <c r="A406" i="30"/>
  <c r="A405" i="30"/>
  <c r="A404" i="30"/>
  <c r="A403" i="30"/>
  <c r="A402" i="30"/>
  <c r="A401" i="30"/>
  <c r="A400" i="30"/>
  <c r="A399" i="30"/>
  <c r="A398" i="30"/>
  <c r="A397" i="30"/>
  <c r="A396" i="30"/>
  <c r="A395" i="30"/>
  <c r="A394" i="30"/>
  <c r="A393" i="30"/>
  <c r="A392" i="30"/>
  <c r="A391" i="30"/>
  <c r="A390" i="30"/>
  <c r="A389" i="30"/>
  <c r="A388" i="30"/>
  <c r="A387" i="30"/>
  <c r="A386" i="30"/>
  <c r="A385" i="30"/>
  <c r="A384" i="30"/>
  <c r="A383" i="30"/>
  <c r="A382" i="30"/>
  <c r="A381" i="30"/>
  <c r="A380" i="30"/>
  <c r="A379" i="30"/>
  <c r="A378" i="30"/>
  <c r="A377" i="30"/>
  <c r="A376" i="30"/>
  <c r="A375" i="30"/>
  <c r="A374" i="30"/>
  <c r="A373" i="30"/>
  <c r="A372" i="30"/>
  <c r="A371" i="30"/>
  <c r="A370" i="30"/>
  <c r="A369" i="30"/>
  <c r="A368" i="30"/>
  <c r="A367" i="30"/>
  <c r="A366" i="30"/>
  <c r="A365" i="30"/>
  <c r="A364" i="30"/>
  <c r="A363" i="30"/>
  <c r="A362" i="30"/>
  <c r="A361" i="30"/>
  <c r="A360" i="30"/>
  <c r="A359" i="30"/>
  <c r="A358" i="30"/>
  <c r="A357" i="30"/>
  <c r="A356" i="30"/>
  <c r="A355" i="30"/>
  <c r="A354" i="30"/>
  <c r="A353" i="30"/>
  <c r="A352" i="30"/>
  <c r="A351" i="30"/>
  <c r="A350" i="30"/>
  <c r="A349" i="30"/>
  <c r="A348" i="30"/>
  <c r="A347" i="30"/>
  <c r="A346" i="30"/>
  <c r="A345" i="30"/>
  <c r="A344" i="30"/>
  <c r="A343" i="30"/>
  <c r="A342" i="30"/>
  <c r="A341" i="30"/>
  <c r="A340" i="30"/>
  <c r="A339" i="30"/>
  <c r="A338" i="30"/>
  <c r="A337" i="30"/>
  <c r="A336" i="30"/>
  <c r="A335" i="30"/>
  <c r="A334" i="30"/>
  <c r="A333" i="30"/>
  <c r="A332" i="30"/>
  <c r="A331" i="30"/>
  <c r="A330" i="30"/>
  <c r="A329" i="30"/>
  <c r="A328" i="30"/>
  <c r="A327" i="30"/>
  <c r="A326" i="30"/>
  <c r="A325" i="30"/>
  <c r="A324" i="30"/>
  <c r="A323" i="30"/>
  <c r="A322" i="30"/>
  <c r="A321" i="30"/>
  <c r="A320" i="30"/>
  <c r="A319" i="30"/>
  <c r="A318" i="30"/>
  <c r="A317" i="30"/>
  <c r="A316" i="30"/>
  <c r="A315" i="30"/>
  <c r="A314" i="30"/>
  <c r="A313" i="30"/>
  <c r="A312" i="30"/>
  <c r="A311" i="30"/>
  <c r="A310" i="30"/>
  <c r="A309" i="30"/>
  <c r="A308" i="30"/>
  <c r="A307" i="30"/>
  <c r="A306" i="30"/>
  <c r="A305" i="30"/>
  <c r="A304" i="30"/>
  <c r="A303" i="30"/>
  <c r="A302" i="30"/>
  <c r="A301" i="30"/>
  <c r="A300" i="30"/>
  <c r="A299" i="30"/>
  <c r="A298" i="30"/>
  <c r="A297" i="30"/>
  <c r="A296" i="30"/>
  <c r="A295" i="30"/>
  <c r="A294" i="30"/>
  <c r="A293" i="30"/>
  <c r="A292" i="30"/>
  <c r="A291" i="30"/>
  <c r="A290" i="30"/>
  <c r="A289" i="30"/>
  <c r="A288" i="30"/>
  <c r="A287" i="30"/>
  <c r="A286" i="30"/>
  <c r="A285" i="30"/>
  <c r="A284" i="30"/>
  <c r="A283" i="30"/>
  <c r="A282" i="30"/>
  <c r="A281" i="30"/>
  <c r="A280" i="30"/>
  <c r="A279" i="30"/>
  <c r="A278" i="30"/>
  <c r="A277" i="30"/>
  <c r="A276" i="30"/>
  <c r="A275" i="30"/>
  <c r="A274" i="30"/>
  <c r="A273" i="30"/>
  <c r="A272" i="30"/>
  <c r="A271" i="30"/>
  <c r="A270" i="30"/>
  <c r="A269" i="30"/>
  <c r="A268" i="30"/>
  <c r="A267" i="30"/>
  <c r="A266" i="30"/>
  <c r="A265" i="30"/>
  <c r="A264" i="30"/>
  <c r="A263" i="30"/>
  <c r="A262" i="30"/>
  <c r="A261" i="30"/>
  <c r="A260" i="30"/>
  <c r="A259" i="30"/>
  <c r="A258" i="30"/>
  <c r="A257" i="30"/>
  <c r="A256" i="30"/>
  <c r="A255" i="30"/>
  <c r="A254" i="30"/>
  <c r="A253" i="30"/>
  <c r="A252" i="30"/>
  <c r="A251" i="30"/>
  <c r="A250" i="30"/>
  <c r="A249" i="30"/>
  <c r="A248" i="30"/>
  <c r="A247" i="30"/>
  <c r="A246" i="30"/>
  <c r="A245" i="30"/>
  <c r="A244" i="30"/>
  <c r="A243" i="30"/>
  <c r="A242" i="30"/>
  <c r="A241" i="30"/>
  <c r="A240" i="30"/>
  <c r="A239" i="30"/>
  <c r="A238" i="30"/>
  <c r="A237" i="30"/>
  <c r="A236" i="30"/>
  <c r="A235" i="30"/>
  <c r="A234" i="30"/>
  <c r="A233" i="30"/>
  <c r="A232" i="30"/>
  <c r="A231" i="30"/>
  <c r="A230" i="30"/>
  <c r="A229" i="30"/>
  <c r="A228" i="30"/>
  <c r="A227" i="30"/>
  <c r="A226" i="30"/>
  <c r="A225" i="30"/>
  <c r="A224" i="30"/>
  <c r="A223" i="30"/>
  <c r="A222" i="30"/>
  <c r="A221" i="30"/>
  <c r="A220" i="30"/>
  <c r="A219" i="30"/>
  <c r="A218" i="30"/>
  <c r="A217" i="30"/>
  <c r="A216" i="30"/>
  <c r="A215" i="30"/>
  <c r="A214" i="30"/>
  <c r="A213" i="30"/>
  <c r="A212" i="30"/>
  <c r="A211" i="30"/>
  <c r="A210" i="30"/>
  <c r="A209" i="30"/>
  <c r="A208" i="30"/>
  <c r="A207" i="30"/>
  <c r="A206" i="30"/>
  <c r="A205" i="30"/>
  <c r="A204" i="30"/>
  <c r="A203" i="30"/>
  <c r="A202" i="30"/>
  <c r="A201" i="30"/>
  <c r="A200" i="30"/>
  <c r="A199" i="30"/>
  <c r="A198" i="30"/>
  <c r="A197" i="30"/>
  <c r="A196" i="30"/>
  <c r="A195" i="30"/>
  <c r="A194" i="30"/>
  <c r="A193" i="30"/>
  <c r="A192" i="30"/>
  <c r="A191" i="30"/>
  <c r="A190" i="30"/>
  <c r="A189" i="30"/>
  <c r="A188" i="30"/>
  <c r="A187" i="30"/>
  <c r="A186" i="30"/>
  <c r="A185" i="30"/>
  <c r="A184" i="30"/>
  <c r="A183" i="30"/>
  <c r="A182" i="30"/>
  <c r="A181" i="30"/>
  <c r="A180" i="30"/>
  <c r="A179" i="30"/>
  <c r="A178" i="30"/>
  <c r="A177" i="30"/>
  <c r="A176" i="30"/>
  <c r="A175" i="30"/>
  <c r="A174" i="30"/>
  <c r="A173" i="30"/>
  <c r="A172" i="30"/>
  <c r="A171" i="30"/>
  <c r="A170" i="30"/>
  <c r="A169" i="30"/>
  <c r="A168" i="30"/>
  <c r="A167" i="30"/>
  <c r="A166" i="30"/>
  <c r="A165" i="30"/>
  <c r="A164" i="30"/>
  <c r="A163" i="30"/>
  <c r="A162" i="30"/>
  <c r="A161" i="30"/>
  <c r="A160" i="30"/>
  <c r="A159" i="30"/>
  <c r="A158" i="30"/>
  <c r="A157" i="30"/>
  <c r="A156" i="30"/>
  <c r="A155" i="30"/>
  <c r="A154" i="30"/>
  <c r="A153" i="30"/>
  <c r="A152" i="30"/>
  <c r="A151" i="30"/>
  <c r="A150" i="30"/>
  <c r="A149" i="30"/>
  <c r="A148" i="30"/>
  <c r="A147" i="30"/>
  <c r="A146" i="30"/>
  <c r="A145" i="30"/>
  <c r="A144" i="30"/>
  <c r="A143" i="30"/>
  <c r="A142" i="30"/>
  <c r="A141" i="30"/>
  <c r="A140" i="30"/>
  <c r="A139" i="30"/>
  <c r="A138" i="30"/>
  <c r="A137" i="30"/>
  <c r="A136" i="30"/>
  <c r="A135" i="30"/>
  <c r="A134" i="30"/>
  <c r="A133" i="30"/>
  <c r="A132" i="30"/>
  <c r="A131" i="30"/>
  <c r="A130" i="30"/>
  <c r="A129" i="30"/>
  <c r="A128" i="30"/>
  <c r="A127" i="30"/>
  <c r="A126" i="30"/>
  <c r="A125" i="30"/>
  <c r="A124" i="30"/>
  <c r="A123" i="30"/>
  <c r="A122" i="30"/>
  <c r="A121" i="30"/>
  <c r="A120" i="30"/>
  <c r="A119" i="30"/>
  <c r="A118" i="30"/>
  <c r="A117" i="30"/>
  <c r="A116" i="30"/>
  <c r="A115" i="30"/>
  <c r="A114" i="30"/>
  <c r="A113" i="30"/>
  <c r="A112" i="30"/>
  <c r="A111" i="30"/>
  <c r="A110" i="30"/>
  <c r="A109" i="30"/>
  <c r="A108" i="30"/>
  <c r="A107" i="30"/>
  <c r="A106" i="30"/>
  <c r="A105" i="30"/>
  <c r="A104" i="30"/>
  <c r="A103" i="30"/>
  <c r="A102" i="30"/>
  <c r="A101" i="30"/>
  <c r="A100" i="30"/>
  <c r="A99" i="30"/>
  <c r="A98" i="30"/>
  <c r="A97" i="30"/>
  <c r="A96" i="30"/>
  <c r="A95" i="30"/>
  <c r="A94" i="30"/>
  <c r="A93" i="30"/>
  <c r="A92" i="30"/>
  <c r="A91" i="30"/>
  <c r="A90" i="30"/>
  <c r="A89" i="30"/>
  <c r="A88" i="30"/>
  <c r="A87" i="30"/>
  <c r="A86" i="30"/>
  <c r="A85" i="30"/>
  <c r="A84" i="30"/>
  <c r="A83" i="30"/>
  <c r="A82" i="30"/>
  <c r="A81" i="30"/>
  <c r="A80" i="30"/>
  <c r="A79" i="30"/>
  <c r="A78" i="30"/>
  <c r="A77" i="30"/>
  <c r="A76" i="30"/>
  <c r="A75" i="30"/>
  <c r="A74" i="30"/>
  <c r="A73" i="30"/>
  <c r="A72" i="30"/>
  <c r="A71" i="30"/>
  <c r="A70" i="30"/>
  <c r="A69" i="30"/>
  <c r="A68" i="30"/>
  <c r="A67" i="30"/>
  <c r="A66" i="30"/>
  <c r="A65" i="30"/>
  <c r="A64" i="30"/>
  <c r="A63" i="30"/>
  <c r="A62" i="30"/>
  <c r="A61" i="30"/>
  <c r="A60" i="30"/>
  <c r="A59" i="30"/>
  <c r="A58" i="30"/>
  <c r="A57" i="30"/>
  <c r="A56" i="30"/>
  <c r="A55" i="30"/>
  <c r="A54" i="30"/>
  <c r="A53" i="30"/>
  <c r="A52" i="30"/>
  <c r="A51" i="30"/>
  <c r="A50" i="30"/>
  <c r="A49" i="30"/>
  <c r="A48" i="30"/>
  <c r="A47" i="30"/>
  <c r="A46" i="30"/>
  <c r="A45" i="30"/>
  <c r="A44" i="30"/>
  <c r="A43" i="30"/>
  <c r="A42" i="30"/>
  <c r="A41" i="30"/>
  <c r="A40" i="30"/>
  <c r="A39" i="30"/>
  <c r="A38" i="30"/>
  <c r="A37" i="30"/>
  <c r="A36" i="30"/>
  <c r="A35" i="30"/>
  <c r="A34" i="30"/>
  <c r="A33" i="30"/>
  <c r="A32" i="30"/>
  <c r="A31" i="30"/>
  <c r="A30" i="30"/>
  <c r="A29" i="30"/>
  <c r="A28" i="30"/>
  <c r="A27" i="30"/>
  <c r="A26" i="30"/>
  <c r="A25" i="30"/>
  <c r="A24" i="30"/>
  <c r="A23" i="30"/>
  <c r="A22" i="30"/>
  <c r="A21" i="30"/>
  <c r="A20" i="30"/>
  <c r="A19" i="30"/>
  <c r="A18" i="30"/>
  <c r="A17" i="30"/>
  <c r="A16" i="30"/>
  <c r="A15" i="30"/>
  <c r="A14" i="30"/>
  <c r="A13" i="30"/>
  <c r="A12" i="30"/>
  <c r="A11" i="30"/>
  <c r="A10" i="30"/>
  <c r="A9" i="30"/>
  <c r="A8" i="30"/>
  <c r="A7" i="30"/>
  <c r="A6" i="30"/>
  <c r="A5" i="30"/>
  <c r="A4" i="30"/>
  <c r="A3" i="30"/>
  <c r="A2" i="30"/>
  <c r="B435" i="30" l="1"/>
  <c r="B434" i="30"/>
  <c r="H434" i="30"/>
  <c r="K435" i="30"/>
  <c r="I435" i="30"/>
  <c r="L435" i="30"/>
  <c r="J435" i="30"/>
  <c r="H436" i="30"/>
  <c r="L436" i="30" s="1"/>
  <c r="K434" i="30" l="1"/>
  <c r="L434" i="30"/>
  <c r="J434" i="30"/>
  <c r="I434" i="30"/>
  <c r="H439" i="30"/>
  <c r="H443" i="30"/>
  <c r="H455" i="30"/>
  <c r="H457" i="30"/>
  <c r="H438" i="30"/>
  <c r="H452" i="30"/>
  <c r="H454" i="30"/>
  <c r="H456" i="30"/>
  <c r="H458" i="30"/>
  <c r="H462" i="30"/>
  <c r="K436" i="30"/>
  <c r="I436" i="30"/>
  <c r="J436" i="30"/>
  <c r="H275" i="30" l="1"/>
  <c r="L439" i="30"/>
  <c r="J439" i="30"/>
  <c r="K439" i="30"/>
  <c r="I439" i="30"/>
  <c r="L462" i="30"/>
  <c r="J462" i="30"/>
  <c r="K462" i="30"/>
  <c r="I462" i="30"/>
  <c r="L454" i="30"/>
  <c r="J454" i="30"/>
  <c r="K454" i="30"/>
  <c r="I454" i="30"/>
  <c r="L457" i="30"/>
  <c r="J457" i="30"/>
  <c r="K457" i="30"/>
  <c r="I457" i="30"/>
  <c r="L456" i="30"/>
  <c r="J456" i="30"/>
  <c r="K456" i="30"/>
  <c r="I456" i="30"/>
  <c r="L452" i="30"/>
  <c r="J452" i="30"/>
  <c r="K452" i="30"/>
  <c r="I452" i="30"/>
  <c r="L455" i="30"/>
  <c r="J455" i="30"/>
  <c r="K455" i="30"/>
  <c r="I455" i="30"/>
  <c r="L443" i="30"/>
  <c r="J443" i="30"/>
  <c r="K443" i="30"/>
  <c r="I443" i="30"/>
  <c r="L458" i="30"/>
  <c r="J458" i="30"/>
  <c r="K458" i="30"/>
  <c r="I458" i="30"/>
  <c r="L438" i="30"/>
  <c r="J438" i="30"/>
  <c r="K438" i="30"/>
  <c r="I438" i="30"/>
  <c r="J275" i="30" l="1"/>
  <c r="K275" i="30"/>
  <c r="L275" i="30"/>
  <c r="I275" i="30"/>
  <c r="C66" i="25" l="1"/>
  <c r="F24" i="17" s="1"/>
  <c r="F25" i="17" s="1"/>
  <c r="F27" i="17" s="1"/>
  <c r="G430" i="30" l="1"/>
  <c r="H430" i="30" s="1"/>
  <c r="I430" i="30" s="1"/>
  <c r="G441" i="30"/>
  <c r="B430" i="30" l="1"/>
  <c r="J430" i="30"/>
  <c r="K430" i="30"/>
  <c r="L430" i="30"/>
  <c r="B441" i="30"/>
  <c r="H441" i="30"/>
  <c r="D22" i="1"/>
  <c r="G429" i="30"/>
  <c r="L441" i="30" l="1"/>
  <c r="J441" i="30"/>
  <c r="K441" i="30"/>
  <c r="I441" i="30"/>
  <c r="M22" i="1"/>
  <c r="B15" i="4"/>
  <c r="A15" i="4"/>
  <c r="B429" i="30" l="1"/>
  <c r="H429" i="30"/>
  <c r="G449" i="30"/>
  <c r="B449" i="30" l="1"/>
  <c r="H449" i="30"/>
  <c r="K429" i="30"/>
  <c r="I429" i="30"/>
  <c r="J429" i="30"/>
  <c r="L429" i="30"/>
  <c r="I449" i="30" l="1"/>
  <c r="L449" i="30"/>
  <c r="K449" i="30"/>
  <c r="J449" i="30"/>
  <c r="D24" i="13"/>
  <c r="B275" i="30"/>
  <c r="D113" i="17" l="1"/>
  <c r="F113" i="17" s="1"/>
  <c r="D114" i="17"/>
  <c r="F114" i="17" s="1"/>
  <c r="D115" i="17"/>
  <c r="F115" i="17" s="1"/>
  <c r="D111" i="17"/>
  <c r="F111" i="17" s="1"/>
  <c r="D101" i="17"/>
  <c r="F62" i="17" l="1"/>
  <c r="F69" i="17" s="1"/>
  <c r="F56" i="17"/>
  <c r="F68" i="17" s="1"/>
  <c r="G464" i="30" l="1"/>
  <c r="B464" i="30" s="1"/>
  <c r="G459" i="30"/>
  <c r="B459" i="30" s="1"/>
  <c r="B465" i="30"/>
  <c r="H465" i="30"/>
  <c r="B460" i="30"/>
  <c r="H460" i="30"/>
  <c r="G440" i="30"/>
  <c r="H464" i="30" l="1"/>
  <c r="L464" i="30" s="1"/>
  <c r="H459" i="30"/>
  <c r="I459" i="30" s="1"/>
  <c r="G444" i="30"/>
  <c r="L465" i="30"/>
  <c r="J465" i="30"/>
  <c r="K465" i="30"/>
  <c r="I465" i="30"/>
  <c r="I460" i="30"/>
  <c r="K460" i="30"/>
  <c r="L460" i="30"/>
  <c r="J460" i="30"/>
  <c r="G442" i="30"/>
  <c r="B440" i="30"/>
  <c r="H440" i="30"/>
  <c r="F18" i="17"/>
  <c r="G437" i="30" s="1"/>
  <c r="B442" i="30" l="1"/>
  <c r="I464" i="30"/>
  <c r="K464" i="30"/>
  <c r="J464" i="30"/>
  <c r="K459" i="30"/>
  <c r="J459" i="30"/>
  <c r="L459" i="30"/>
  <c r="B444" i="30"/>
  <c r="H444" i="30"/>
  <c r="J444" i="30" s="1"/>
  <c r="H437" i="30"/>
  <c r="B437" i="30"/>
  <c r="H442" i="30"/>
  <c r="L442" i="30" s="1"/>
  <c r="L440" i="30"/>
  <c r="J440" i="30"/>
  <c r="K440" i="30"/>
  <c r="I440" i="30"/>
  <c r="J78" i="3"/>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K44" i="4"/>
  <c r="L44" i="4" s="1"/>
  <c r="K45" i="4"/>
  <c r="L45" i="4" s="1"/>
  <c r="K46" i="4"/>
  <c r="L46" i="4" s="1"/>
  <c r="K47" i="4"/>
  <c r="L47" i="4" s="1"/>
  <c r="K48" i="4"/>
  <c r="L48" i="4" s="1"/>
  <c r="K49" i="4"/>
  <c r="K50" i="4"/>
  <c r="L50" i="4" s="1"/>
  <c r="K51" i="4"/>
  <c r="L51" i="4" s="1"/>
  <c r="K52" i="4"/>
  <c r="L52" i="4" s="1"/>
  <c r="K53" i="4"/>
  <c r="L53" i="4" s="1"/>
  <c r="K54" i="4"/>
  <c r="L54" i="4" s="1"/>
  <c r="K15" i="4"/>
  <c r="L15" i="4" s="1"/>
  <c r="L49" i="4" l="1"/>
  <c r="K55" i="4"/>
  <c r="L444" i="30"/>
  <c r="I444" i="30"/>
  <c r="K444" i="30"/>
  <c r="L43" i="4"/>
  <c r="L437" i="30"/>
  <c r="J437" i="30"/>
  <c r="I437" i="30"/>
  <c r="K437" i="30"/>
  <c r="I442" i="30"/>
  <c r="K442" i="30"/>
  <c r="J442" i="30"/>
  <c r="L23" i="1"/>
  <c r="F109" i="17"/>
  <c r="F117" i="17" s="1"/>
  <c r="L55" i="4" l="1"/>
  <c r="D103" i="17"/>
  <c r="F103" i="17" s="1"/>
  <c r="D104" i="17"/>
  <c r="F104" i="17" s="1"/>
  <c r="D105" i="17"/>
  <c r="F105" i="17" s="1"/>
  <c r="F106" i="17"/>
  <c r="F101" i="17"/>
  <c r="F19" i="14" l="1"/>
  <c r="F20" i="14"/>
  <c r="F21" i="14"/>
  <c r="F22" i="14"/>
  <c r="F23" i="14"/>
  <c r="F24" i="14"/>
  <c r="F25" i="14"/>
  <c r="F26" i="14"/>
  <c r="F27" i="14"/>
  <c r="F28" i="14"/>
  <c r="F29" i="14"/>
  <c r="F30" i="14"/>
  <c r="F31" i="14"/>
  <c r="G466" i="30" l="1"/>
  <c r="G461" i="30"/>
  <c r="B466" i="30" l="1"/>
  <c r="H466" i="30"/>
  <c r="B461" i="30"/>
  <c r="G469" i="30"/>
  <c r="H461" i="30"/>
  <c r="G450" i="30"/>
  <c r="L466" i="30" l="1"/>
  <c r="J466" i="30"/>
  <c r="K466" i="30"/>
  <c r="I466" i="30"/>
  <c r="L461" i="30"/>
  <c r="J461" i="30"/>
  <c r="K461" i="30"/>
  <c r="I461" i="30"/>
  <c r="B469" i="30"/>
  <c r="H469" i="30"/>
  <c r="B450" i="30"/>
  <c r="H450" i="30"/>
  <c r="F65" i="17"/>
  <c r="G451" i="30" l="1"/>
  <c r="G453" i="30"/>
  <c r="G468" i="30" s="1"/>
  <c r="L469" i="30"/>
  <c r="K469" i="30"/>
  <c r="J469" i="30"/>
  <c r="I469" i="30"/>
  <c r="L450" i="30"/>
  <c r="J450" i="30"/>
  <c r="K450" i="30"/>
  <c r="I450" i="30"/>
  <c r="B78" i="3"/>
  <c r="C78" i="3"/>
  <c r="D78" i="3"/>
  <c r="F78" i="3"/>
  <c r="G78" i="3"/>
  <c r="H78" i="3"/>
  <c r="I78" i="3"/>
  <c r="B451" i="30" l="1"/>
  <c r="G467" i="30"/>
  <c r="H467" i="30" s="1"/>
  <c r="H451" i="30"/>
  <c r="L451" i="30" s="1"/>
  <c r="B453" i="30"/>
  <c r="H453" i="30"/>
  <c r="F67" i="17"/>
  <c r="F70" i="17" s="1"/>
  <c r="E78" i="3"/>
  <c r="C34" i="13"/>
  <c r="D26" i="13"/>
  <c r="D18" i="13"/>
  <c r="D53" i="9"/>
  <c r="C53" i="9"/>
  <c r="D55" i="4"/>
  <c r="E20" i="1" s="1"/>
  <c r="C55" i="4"/>
  <c r="I451" i="30" l="1"/>
  <c r="B467" i="30"/>
  <c r="K451" i="30"/>
  <c r="J451" i="30"/>
  <c r="M21" i="1"/>
  <c r="G428" i="30"/>
  <c r="E27" i="1"/>
  <c r="E31" i="1" s="1"/>
  <c r="G463" i="30"/>
  <c r="H463" i="30" s="1"/>
  <c r="B468" i="30"/>
  <c r="G470" i="30"/>
  <c r="H468" i="30"/>
  <c r="I467" i="30"/>
  <c r="L467" i="30"/>
  <c r="J467" i="30"/>
  <c r="K467" i="30"/>
  <c r="I453" i="30"/>
  <c r="L453" i="30"/>
  <c r="K453" i="30"/>
  <c r="J453" i="30"/>
  <c r="F23" i="1"/>
  <c r="D27" i="1"/>
  <c r="D31" i="1" s="1"/>
  <c r="G31" i="1"/>
  <c r="F72" i="17"/>
  <c r="F99" i="17" s="1"/>
  <c r="F107" i="17" s="1"/>
  <c r="F119" i="17" s="1"/>
  <c r="I23" i="1"/>
  <c r="H23" i="1"/>
  <c r="E23" i="1"/>
  <c r="J23" i="1"/>
  <c r="K23" i="1"/>
  <c r="D20" i="1"/>
  <c r="D23" i="1" s="1"/>
  <c r="F32" i="14"/>
  <c r="F35" i="14" s="1"/>
  <c r="D33" i="13"/>
  <c r="F33" i="1" l="1"/>
  <c r="F37" i="1"/>
  <c r="G432" i="30" s="1"/>
  <c r="B463" i="30"/>
  <c r="B428" i="30"/>
  <c r="H428" i="30"/>
  <c r="I468" i="30"/>
  <c r="L468" i="30"/>
  <c r="K468" i="30"/>
  <c r="J468" i="30"/>
  <c r="H470" i="30"/>
  <c r="G471" i="30"/>
  <c r="B470" i="30"/>
  <c r="L463" i="30"/>
  <c r="J463" i="30"/>
  <c r="K463" i="30"/>
  <c r="I463" i="30"/>
  <c r="F31" i="1"/>
  <c r="M20" i="1"/>
  <c r="G23" i="1"/>
  <c r="G39" i="1" s="1"/>
  <c r="C35" i="13"/>
  <c r="D34" i="13"/>
  <c r="B432" i="30" l="1"/>
  <c r="H432" i="30"/>
  <c r="K432" i="30" s="1"/>
  <c r="J428" i="30"/>
  <c r="I428" i="30"/>
  <c r="L428" i="30"/>
  <c r="K428" i="30"/>
  <c r="L470" i="30"/>
  <c r="K470" i="30"/>
  <c r="I470" i="30"/>
  <c r="J470" i="30"/>
  <c r="B471" i="30"/>
  <c r="H471" i="30"/>
  <c r="M23" i="1"/>
  <c r="C36" i="13"/>
  <c r="D36" i="13" s="1"/>
  <c r="D40" i="13" l="1"/>
  <c r="G482" i="30"/>
  <c r="J432" i="30"/>
  <c r="I432" i="30"/>
  <c r="L432" i="30"/>
  <c r="J471" i="30"/>
  <c r="L471" i="30"/>
  <c r="K471" i="30"/>
  <c r="I471" i="30"/>
  <c r="H482" i="30" l="1"/>
  <c r="B482" i="30"/>
  <c r="D41" i="13"/>
  <c r="G484" i="30" s="1"/>
  <c r="G483" i="30"/>
  <c r="D42" i="13" l="1"/>
  <c r="B484" i="30"/>
  <c r="H484" i="30"/>
  <c r="F35" i="1"/>
  <c r="G485" i="30"/>
  <c r="H483" i="30"/>
  <c r="B483" i="30"/>
  <c r="K482" i="30"/>
  <c r="I482" i="30"/>
  <c r="L482" i="30"/>
  <c r="J482" i="30"/>
  <c r="F39" i="1"/>
  <c r="H485" i="30" l="1"/>
  <c r="B485" i="30"/>
  <c r="I483" i="30"/>
  <c r="J483" i="30"/>
  <c r="L483" i="30"/>
  <c r="K483" i="30"/>
  <c r="I484" i="30"/>
  <c r="L484" i="30"/>
  <c r="K484" i="30"/>
  <c r="J484" i="30"/>
  <c r="G41" i="1"/>
  <c r="G45" i="1" s="1"/>
  <c r="G472" i="30"/>
  <c r="G431" i="30"/>
  <c r="L485" i="30" l="1"/>
  <c r="K485" i="30"/>
  <c r="J485" i="30"/>
  <c r="I485" i="30"/>
  <c r="B472" i="30"/>
  <c r="H472" i="30"/>
  <c r="F43" i="1"/>
  <c r="F45" i="1" s="1"/>
  <c r="B431" i="30"/>
  <c r="H431" i="30"/>
  <c r="J472" i="30" l="1"/>
  <c r="K472" i="30"/>
  <c r="L472" i="30"/>
  <c r="I472" i="30"/>
  <c r="L431" i="30"/>
  <c r="J431" i="30"/>
  <c r="K431" i="30"/>
  <c r="I431" i="30"/>
  <c r="G53" i="30"/>
  <c r="G48" i="30"/>
  <c r="G389" i="30"/>
  <c r="G199" i="30"/>
  <c r="G230" i="30"/>
  <c r="G262" i="30"/>
  <c r="G257" i="30"/>
  <c r="G379" i="30"/>
  <c r="G330" i="30"/>
  <c r="G20" i="30"/>
  <c r="G356" i="30"/>
  <c r="G15" i="30"/>
  <c r="G293" i="30"/>
  <c r="G75" i="30"/>
  <c r="G420" i="30"/>
  <c r="G169" i="30"/>
  <c r="G121" i="30"/>
  <c r="G388" i="30"/>
  <c r="G392" i="30"/>
  <c r="G220" i="30"/>
  <c r="G176" i="30"/>
  <c r="G164" i="30"/>
  <c r="G225" i="30"/>
  <c r="G35" i="30"/>
  <c r="G364" i="30"/>
  <c r="G402" i="30"/>
  <c r="G324" i="30"/>
  <c r="G249" i="30"/>
  <c r="G106" i="30"/>
  <c r="G45" i="30"/>
  <c r="G288" i="30"/>
  <c r="G166" i="30"/>
  <c r="G76" i="30"/>
  <c r="G382" i="30"/>
  <c r="G89" i="30"/>
  <c r="G44" i="30"/>
  <c r="G173" i="30"/>
  <c r="G51" i="30"/>
  <c r="G287" i="30"/>
  <c r="G210" i="30"/>
  <c r="G211" i="30"/>
  <c r="G102" i="30"/>
  <c r="G31" i="30"/>
  <c r="G289" i="30"/>
  <c r="G413" i="30"/>
  <c r="G365" i="30"/>
  <c r="G397" i="30"/>
  <c r="G360" i="30"/>
  <c r="G385" i="30"/>
  <c r="G99" i="30"/>
  <c r="G254" i="30"/>
  <c r="G371" i="30"/>
  <c r="G285" i="30"/>
  <c r="G153" i="30"/>
  <c r="G384" i="30"/>
  <c r="G299" i="30"/>
  <c r="G400" i="30"/>
  <c r="G34" i="30"/>
  <c r="G119" i="30"/>
  <c r="G256" i="30"/>
  <c r="G228" i="30"/>
  <c r="G13" i="30"/>
  <c r="G245" i="30"/>
  <c r="G423" i="30"/>
  <c r="G43" i="30"/>
  <c r="G205" i="30"/>
  <c r="G154" i="30"/>
  <c r="G70" i="30"/>
  <c r="G212" i="30"/>
  <c r="G195" i="30"/>
  <c r="G190" i="30"/>
  <c r="G140" i="30"/>
  <c r="G189" i="30"/>
  <c r="G219" i="30"/>
  <c r="G112" i="30"/>
  <c r="G264" i="30"/>
  <c r="G183" i="30"/>
  <c r="G84" i="30"/>
  <c r="G10" i="30"/>
  <c r="G58" i="30"/>
  <c r="G247" i="30"/>
  <c r="G235" i="30"/>
  <c r="G370" i="30"/>
  <c r="G27" i="30"/>
  <c r="G42" i="30"/>
  <c r="G82" i="30"/>
  <c r="G149" i="30"/>
  <c r="G334" i="30"/>
  <c r="G186" i="30"/>
  <c r="G88" i="30"/>
  <c r="G103" i="30"/>
  <c r="G134" i="30"/>
  <c r="G148" i="30"/>
  <c r="G21" i="30"/>
  <c r="G243" i="30"/>
  <c r="G401" i="30"/>
  <c r="G77" i="30"/>
  <c r="G336" i="30"/>
  <c r="G37" i="30"/>
  <c r="G322" i="30"/>
  <c r="G80" i="30"/>
  <c r="G271" i="30"/>
  <c r="G240" i="30"/>
  <c r="G233" i="30"/>
  <c r="G306" i="30"/>
  <c r="G223" i="30"/>
  <c r="G191" i="30"/>
  <c r="G279" i="30"/>
  <c r="G414" i="30"/>
  <c r="G214" i="30"/>
  <c r="G328" i="30"/>
  <c r="G327" i="30"/>
  <c r="G39" i="30"/>
  <c r="G411" i="30"/>
  <c r="G168" i="30"/>
  <c r="G284" i="30"/>
  <c r="G8" i="30"/>
  <c r="G250" i="30"/>
  <c r="G424" i="30"/>
  <c r="G394" i="30"/>
  <c r="G6" i="30"/>
  <c r="G221" i="30"/>
  <c r="G11" i="30"/>
  <c r="G269" i="30"/>
  <c r="G304" i="30"/>
  <c r="G3" i="30"/>
  <c r="G202" i="30"/>
  <c r="G137" i="30"/>
  <c r="G161" i="30"/>
  <c r="G156" i="30"/>
  <c r="G321" i="30"/>
  <c r="G310" i="30"/>
  <c r="G305" i="30"/>
  <c r="G313" i="30"/>
  <c r="G426" i="30"/>
  <c r="G55" i="30"/>
  <c r="G150" i="30"/>
  <c r="G308" i="30"/>
  <c r="G359" i="30"/>
  <c r="G66" i="30"/>
  <c r="G146" i="30"/>
  <c r="G71" i="30"/>
  <c r="G101" i="30"/>
  <c r="G342" i="30"/>
  <c r="G181" i="30"/>
  <c r="G177" i="30"/>
  <c r="G416" i="30"/>
  <c r="G410" i="30"/>
  <c r="G358" i="30"/>
  <c r="G239" i="30"/>
  <c r="G278" i="30"/>
  <c r="G276" i="30"/>
  <c r="G171" i="30"/>
  <c r="G335" i="30"/>
  <c r="G369" i="30"/>
  <c r="G244" i="30"/>
  <c r="G241" i="30"/>
  <c r="G346" i="30"/>
  <c r="G124" i="30"/>
  <c r="G163" i="30"/>
  <c r="G138" i="30"/>
  <c r="G113" i="30"/>
  <c r="G362" i="30"/>
  <c r="G419" i="30"/>
  <c r="G311" i="30"/>
  <c r="G7" i="30"/>
  <c r="G307" i="30"/>
  <c r="G68" i="30"/>
  <c r="G94" i="30"/>
  <c r="G126" i="30"/>
  <c r="G390" i="30"/>
  <c r="G274" i="30"/>
  <c r="G433" i="30"/>
  <c r="G387" i="30"/>
  <c r="G213" i="30"/>
  <c r="G196" i="30"/>
  <c r="G201" i="30"/>
  <c r="G200" i="30"/>
  <c r="G104" i="30"/>
  <c r="G107" i="30"/>
  <c r="G40" i="30"/>
  <c r="G100" i="30"/>
  <c r="G135" i="30"/>
  <c r="G357" i="30"/>
  <c r="G125" i="30"/>
  <c r="G298" i="30"/>
  <c r="G268" i="30"/>
  <c r="G300" i="30"/>
  <c r="G57" i="30"/>
  <c r="G246" i="30"/>
  <c r="G320" i="30"/>
  <c r="G170" i="30"/>
  <c r="G377" i="30"/>
  <c r="G329" i="30"/>
  <c r="G381" i="30"/>
  <c r="G207" i="30"/>
  <c r="G417" i="30"/>
  <c r="G159" i="30"/>
  <c r="G427" i="30"/>
  <c r="G242" i="30"/>
  <c r="G117" i="30"/>
  <c r="G14" i="30"/>
  <c r="G261" i="30"/>
  <c r="G380" i="30"/>
  <c r="G395" i="30"/>
  <c r="G62" i="30"/>
  <c r="G252" i="30"/>
  <c r="G290" i="30"/>
  <c r="G98" i="30"/>
  <c r="G412" i="30"/>
  <c r="G41" i="30"/>
  <c r="G110" i="30"/>
  <c r="G229" i="30"/>
  <c r="G354" i="30"/>
  <c r="G319" i="30"/>
  <c r="G309" i="30"/>
  <c r="G267" i="30"/>
  <c r="G396" i="30"/>
  <c r="G391" i="30"/>
  <c r="G79" i="30"/>
  <c r="G192" i="30"/>
  <c r="G179" i="30"/>
  <c r="G184" i="30"/>
  <c r="G294" i="30"/>
  <c r="G90" i="30"/>
  <c r="G162" i="30"/>
  <c r="G59" i="30"/>
  <c r="G333" i="30"/>
  <c r="G36" i="30"/>
  <c r="G83" i="30"/>
  <c r="G129" i="30"/>
  <c r="G372" i="30"/>
  <c r="G345" i="30"/>
  <c r="G253" i="30"/>
  <c r="G114" i="30"/>
  <c r="G291" i="30"/>
  <c r="G272" i="30"/>
  <c r="G16" i="30"/>
  <c r="G266" i="30"/>
  <c r="G180" i="30"/>
  <c r="G409" i="30"/>
  <c r="G258" i="30"/>
  <c r="G255" i="30"/>
  <c r="G63" i="30"/>
  <c r="G216" i="30"/>
  <c r="G408" i="30"/>
  <c r="G363" i="30"/>
  <c r="G317" i="30"/>
  <c r="G29" i="30"/>
  <c r="G337" i="30"/>
  <c r="G85" i="30"/>
  <c r="G263" i="30"/>
  <c r="G270" i="30"/>
  <c r="G280" i="30"/>
  <c r="G52" i="30"/>
  <c r="G286" i="30"/>
  <c r="G376" i="30"/>
  <c r="G172" i="30"/>
  <c r="G208" i="30"/>
  <c r="G9" i="30"/>
  <c r="G422" i="30"/>
  <c r="G193" i="30"/>
  <c r="G46" i="30"/>
  <c r="G147" i="30"/>
  <c r="G341" i="30"/>
  <c r="G368" i="30"/>
  <c r="G69" i="30"/>
  <c r="G314" i="30"/>
  <c r="G295" i="30"/>
  <c r="G237" i="30"/>
  <c r="G343" i="30"/>
  <c r="G312" i="30"/>
  <c r="G231" i="30"/>
  <c r="G78" i="30"/>
  <c r="G132" i="30"/>
  <c r="G265" i="30"/>
  <c r="G4" i="30"/>
  <c r="G383" i="30"/>
  <c r="G144" i="30"/>
  <c r="G157" i="30"/>
  <c r="G122" i="30"/>
  <c r="G81" i="30"/>
  <c r="G187" i="30"/>
  <c r="G24" i="30"/>
  <c r="G32" i="30"/>
  <c r="G22" i="30"/>
  <c r="G174" i="30"/>
  <c r="G118" i="30"/>
  <c r="G339" i="30"/>
  <c r="G38" i="30"/>
  <c r="G351" i="30"/>
  <c r="G17" i="30"/>
  <c r="G86" i="30"/>
  <c r="G96" i="30"/>
  <c r="G105" i="30"/>
  <c r="G152" i="30"/>
  <c r="G232" i="30"/>
  <c r="G303" i="30"/>
  <c r="G347" i="30"/>
  <c r="G23" i="30"/>
  <c r="G404" i="30"/>
  <c r="G302" i="30"/>
  <c r="G123" i="30"/>
  <c r="G198" i="30"/>
  <c r="G127" i="30"/>
  <c r="G421" i="30"/>
  <c r="G12" i="30"/>
  <c r="G116" i="30"/>
  <c r="G167" i="30"/>
  <c r="G5" i="30"/>
  <c r="G301" i="30"/>
  <c r="G108" i="30"/>
  <c r="G292" i="30"/>
  <c r="G415" i="30"/>
  <c r="G355" i="30"/>
  <c r="G338" i="30"/>
  <c r="G194" i="30"/>
  <c r="G128" i="30"/>
  <c r="G373" i="30"/>
  <c r="G349" i="30"/>
  <c r="G133" i="30"/>
  <c r="G405" i="30"/>
  <c r="G141" i="30"/>
  <c r="G367" i="30"/>
  <c r="G425" i="30"/>
  <c r="G315" i="30"/>
  <c r="G33" i="30"/>
  <c r="G18" i="30"/>
  <c r="G175" i="30"/>
  <c r="G204" i="30"/>
  <c r="G185" i="30"/>
  <c r="G28" i="30"/>
  <c r="G248" i="30"/>
  <c r="G64" i="30"/>
  <c r="G318" i="30"/>
  <c r="G374" i="30"/>
  <c r="G297" i="30"/>
  <c r="G142" i="30"/>
  <c r="G49" i="30"/>
  <c r="G160" i="30"/>
  <c r="G95" i="30"/>
  <c r="G92" i="30"/>
  <c r="G331" i="30"/>
  <c r="G386" i="30"/>
  <c r="G109" i="30"/>
  <c r="G26" i="30"/>
  <c r="G282" i="30"/>
  <c r="G151" i="30"/>
  <c r="G218" i="30"/>
  <c r="G398" i="30"/>
  <c r="G332" i="30"/>
  <c r="G296" i="30"/>
  <c r="G238" i="30"/>
  <c r="G206" i="30"/>
  <c r="G361" i="30"/>
  <c r="G350" i="30"/>
  <c r="G136" i="30"/>
  <c r="G111" i="30"/>
  <c r="G120" i="30"/>
  <c r="G47" i="30"/>
  <c r="G188" i="30"/>
  <c r="G277" i="30"/>
  <c r="G227" i="30"/>
  <c r="G352" i="30"/>
  <c r="G115" i="30"/>
  <c r="G260" i="30"/>
  <c r="G283" i="30"/>
  <c r="G72" i="30"/>
  <c r="G366" i="30"/>
  <c r="G344" i="30"/>
  <c r="G403" i="30"/>
  <c r="G375" i="30"/>
  <c r="G178" i="30"/>
  <c r="G197" i="30"/>
  <c r="G273" i="30"/>
  <c r="G61" i="30"/>
  <c r="G215" i="30"/>
  <c r="G145" i="30"/>
  <c r="G236" i="30"/>
  <c r="G224" i="30"/>
  <c r="G50" i="30"/>
  <c r="G323" i="30"/>
  <c r="G87" i="30"/>
  <c r="G326" i="30"/>
  <c r="G131" i="30"/>
  <c r="G378" i="30"/>
  <c r="G182" i="30"/>
  <c r="G155" i="30"/>
  <c r="G60" i="30"/>
  <c r="G203" i="30"/>
  <c r="G340" i="30"/>
  <c r="G217" i="30"/>
  <c r="G74" i="30"/>
  <c r="G234" i="30"/>
  <c r="G399" i="30"/>
  <c r="G93" i="30"/>
  <c r="G56" i="30"/>
  <c r="G65" i="30"/>
  <c r="G209" i="30"/>
  <c r="G30" i="30"/>
  <c r="G67" i="30"/>
  <c r="G54" i="30"/>
  <c r="G353" i="30"/>
  <c r="G25" i="30"/>
  <c r="G2" i="30"/>
  <c r="G130" i="30"/>
  <c r="G325" i="30"/>
  <c r="G158" i="30"/>
  <c r="G418" i="30"/>
  <c r="G348" i="30"/>
  <c r="G91" i="30"/>
  <c r="G226" i="30"/>
  <c r="G222" i="30"/>
  <c r="G97" i="30"/>
  <c r="G393" i="30"/>
  <c r="G251" i="30"/>
  <c r="G316" i="30"/>
  <c r="G281" i="30"/>
  <c r="G73" i="30"/>
  <c r="G259" i="30"/>
  <c r="G143" i="30"/>
  <c r="G406" i="30"/>
  <c r="G19" i="30"/>
  <c r="G139" i="30"/>
  <c r="G407" i="30"/>
  <c r="G165" i="30"/>
  <c r="B165" i="30" l="1"/>
  <c r="H165" i="30"/>
  <c r="H407" i="30"/>
  <c r="B407" i="30"/>
  <c r="H139" i="30"/>
  <c r="B139" i="30"/>
  <c r="B19" i="30"/>
  <c r="H19" i="30"/>
  <c r="H406" i="30"/>
  <c r="B406" i="30"/>
  <c r="B143" i="30"/>
  <c r="H143" i="30"/>
  <c r="B259" i="30"/>
  <c r="H259" i="30"/>
  <c r="B73" i="30"/>
  <c r="H73" i="30"/>
  <c r="B281" i="30"/>
  <c r="H281" i="30"/>
  <c r="H316" i="30"/>
  <c r="B316" i="30"/>
  <c r="H251" i="30"/>
  <c r="B251" i="30"/>
  <c r="H393" i="30"/>
  <c r="B393" i="30"/>
  <c r="H97" i="30"/>
  <c r="B97" i="30"/>
  <c r="H222" i="30"/>
  <c r="B222" i="30"/>
  <c r="B226" i="30"/>
  <c r="H226" i="30"/>
  <c r="B91" i="30"/>
  <c r="H91" i="30"/>
  <c r="B348" i="30"/>
  <c r="H348" i="30"/>
  <c r="B418" i="30"/>
  <c r="H418" i="30"/>
  <c r="H158" i="30"/>
  <c r="B158" i="30"/>
  <c r="H325" i="30"/>
  <c r="B325" i="30"/>
  <c r="B130" i="30"/>
  <c r="H130" i="30"/>
  <c r="H2" i="30"/>
  <c r="B2" i="30"/>
  <c r="I2" i="30"/>
  <c r="B25" i="30"/>
  <c r="H25" i="30"/>
  <c r="B353" i="30"/>
  <c r="H353" i="30"/>
  <c r="B54" i="30"/>
  <c r="H54" i="30"/>
  <c r="B67" i="30"/>
  <c r="H67" i="30"/>
  <c r="B30" i="30"/>
  <c r="H30" i="30"/>
  <c r="B209" i="30"/>
  <c r="H209" i="30"/>
  <c r="B65" i="30"/>
  <c r="H65" i="30"/>
  <c r="H56" i="30"/>
  <c r="B56" i="30"/>
  <c r="H93" i="30"/>
  <c r="B93" i="30"/>
  <c r="H399" i="30"/>
  <c r="B399" i="30"/>
  <c r="H234" i="30"/>
  <c r="B234" i="30"/>
  <c r="H74" i="30"/>
  <c r="B74" i="30"/>
  <c r="B217" i="30"/>
  <c r="H217" i="30"/>
  <c r="B340" i="30"/>
  <c r="H340" i="30"/>
  <c r="B203" i="30"/>
  <c r="H203" i="30"/>
  <c r="B60" i="30"/>
  <c r="H60" i="30"/>
  <c r="H155" i="30"/>
  <c r="B155" i="30"/>
  <c r="B182" i="30"/>
  <c r="H182" i="30"/>
  <c r="H378" i="30"/>
  <c r="B378" i="30"/>
  <c r="H131" i="30"/>
  <c r="B131" i="30"/>
  <c r="B326" i="30"/>
  <c r="H326" i="30"/>
  <c r="H87" i="30"/>
  <c r="B87" i="30"/>
  <c r="H323" i="30"/>
  <c r="B323" i="30"/>
  <c r="H50" i="30"/>
  <c r="B50" i="30"/>
  <c r="H224" i="30"/>
  <c r="B224" i="30"/>
  <c r="H236" i="30"/>
  <c r="B236" i="30"/>
  <c r="B145" i="30"/>
  <c r="H145" i="30"/>
  <c r="B215" i="30"/>
  <c r="H215" i="30"/>
  <c r="B61" i="30"/>
  <c r="H61" i="30"/>
  <c r="H273" i="30"/>
  <c r="B273" i="30"/>
  <c r="H197" i="30"/>
  <c r="B197" i="30"/>
  <c r="B178" i="30"/>
  <c r="H178" i="30"/>
  <c r="B375" i="30"/>
  <c r="H375" i="30"/>
  <c r="H403" i="30"/>
  <c r="B403" i="30"/>
  <c r="H344" i="30"/>
  <c r="B344" i="30"/>
  <c r="H366" i="30"/>
  <c r="B366" i="30"/>
  <c r="H72" i="30"/>
  <c r="B72" i="30"/>
  <c r="B283" i="30"/>
  <c r="H283" i="30"/>
  <c r="H260" i="30"/>
  <c r="B260" i="30"/>
  <c r="B115" i="30"/>
  <c r="H115" i="30"/>
  <c r="H352" i="30"/>
  <c r="B352" i="30"/>
  <c r="H227" i="30"/>
  <c r="B227" i="30"/>
  <c r="B277" i="30"/>
  <c r="H277" i="30"/>
  <c r="H188" i="30"/>
  <c r="B188" i="30"/>
  <c r="H47" i="30"/>
  <c r="B47" i="30"/>
  <c r="H120" i="30"/>
  <c r="B120" i="30"/>
  <c r="H111" i="30"/>
  <c r="B111" i="30"/>
  <c r="B136" i="30"/>
  <c r="H136" i="30"/>
  <c r="H350" i="30"/>
  <c r="B350" i="30"/>
  <c r="H361" i="30"/>
  <c r="B361" i="30"/>
  <c r="H206" i="30"/>
  <c r="B206" i="30"/>
  <c r="H238" i="30"/>
  <c r="B238" i="30"/>
  <c r="H296" i="30"/>
  <c r="B296" i="30"/>
  <c r="B332" i="30"/>
  <c r="H332" i="30"/>
  <c r="H398" i="30"/>
  <c r="B398" i="30"/>
  <c r="B218" i="30"/>
  <c r="H218" i="30"/>
  <c r="H151" i="30"/>
  <c r="B151" i="30"/>
  <c r="B282" i="30"/>
  <c r="H282" i="30"/>
  <c r="H26" i="30"/>
  <c r="B26" i="30"/>
  <c r="B109" i="30"/>
  <c r="H109" i="30"/>
  <c r="B386" i="30"/>
  <c r="H386" i="30"/>
  <c r="H331" i="30"/>
  <c r="B331" i="30"/>
  <c r="B92" i="30"/>
  <c r="H92" i="30"/>
  <c r="H95" i="30"/>
  <c r="B95" i="30"/>
  <c r="B160" i="30"/>
  <c r="H160" i="30"/>
  <c r="B49" i="30"/>
  <c r="H49" i="30"/>
  <c r="H142" i="30"/>
  <c r="B142" i="30"/>
  <c r="H297" i="30"/>
  <c r="B297" i="30"/>
  <c r="B374" i="30"/>
  <c r="H374" i="30"/>
  <c r="B318" i="30"/>
  <c r="H318" i="30"/>
  <c r="B64" i="30"/>
  <c r="H64" i="30"/>
  <c r="B248" i="30"/>
  <c r="H248" i="30"/>
  <c r="B28" i="30"/>
  <c r="H28" i="30"/>
  <c r="H185" i="30"/>
  <c r="B185" i="30"/>
  <c r="H204" i="30"/>
  <c r="B204" i="30"/>
  <c r="B175" i="30"/>
  <c r="H175" i="30"/>
  <c r="H18" i="30"/>
  <c r="B18" i="30"/>
  <c r="H33" i="30"/>
  <c r="B33" i="30"/>
  <c r="H315" i="30"/>
  <c r="B315" i="30"/>
  <c r="B425" i="30"/>
  <c r="H425" i="30"/>
  <c r="B367" i="30"/>
  <c r="H367" i="30"/>
  <c r="B141" i="30"/>
  <c r="H141" i="30"/>
  <c r="H405" i="30"/>
  <c r="B405" i="30"/>
  <c r="B133" i="30"/>
  <c r="H133" i="30"/>
  <c r="B349" i="30"/>
  <c r="H349" i="30"/>
  <c r="H373" i="30"/>
  <c r="B373" i="30"/>
  <c r="H128" i="30"/>
  <c r="B128" i="30"/>
  <c r="H194" i="30"/>
  <c r="B194" i="30"/>
  <c r="H338" i="30"/>
  <c r="B338" i="30"/>
  <c r="B355" i="30"/>
  <c r="H355" i="30"/>
  <c r="B415" i="30"/>
  <c r="H415" i="30"/>
  <c r="H292" i="30"/>
  <c r="B292" i="30"/>
  <c r="B108" i="30"/>
  <c r="H108" i="30"/>
  <c r="H301" i="30"/>
  <c r="B301" i="30"/>
  <c r="H5" i="30"/>
  <c r="B5" i="30"/>
  <c r="H167" i="30"/>
  <c r="B167" i="30"/>
  <c r="B116" i="30"/>
  <c r="H116" i="30"/>
  <c r="H12" i="30"/>
  <c r="B12" i="30"/>
  <c r="B421" i="30"/>
  <c r="H421" i="30"/>
  <c r="H127" i="30"/>
  <c r="B127" i="30"/>
  <c r="B198" i="30"/>
  <c r="H198" i="30"/>
  <c r="B123" i="30"/>
  <c r="H123" i="30"/>
  <c r="H302" i="30"/>
  <c r="B302" i="30"/>
  <c r="H404" i="30"/>
  <c r="B404" i="30"/>
  <c r="B23" i="30"/>
  <c r="H23" i="30"/>
  <c r="H347" i="30"/>
  <c r="B347" i="30"/>
  <c r="B303" i="30"/>
  <c r="H303" i="30"/>
  <c r="H232" i="30"/>
  <c r="B232" i="30"/>
  <c r="H152" i="30"/>
  <c r="B152" i="30"/>
  <c r="H105" i="30"/>
  <c r="B105" i="30"/>
  <c r="B96" i="30"/>
  <c r="H96" i="30"/>
  <c r="H86" i="30"/>
  <c r="B86" i="30"/>
  <c r="H17" i="30"/>
  <c r="B17" i="30"/>
  <c r="B351" i="30"/>
  <c r="H351" i="30"/>
  <c r="H38" i="30"/>
  <c r="B38" i="30"/>
  <c r="H339" i="30"/>
  <c r="B339" i="30"/>
  <c r="H118" i="30"/>
  <c r="B118" i="30"/>
  <c r="B174" i="30"/>
  <c r="H174" i="30"/>
  <c r="B22" i="30"/>
  <c r="H22" i="30"/>
  <c r="B32" i="30"/>
  <c r="H32" i="30"/>
  <c r="H24" i="30"/>
  <c r="B24" i="30"/>
  <c r="H187" i="30"/>
  <c r="B187" i="30"/>
  <c r="B81" i="30"/>
  <c r="H81" i="30"/>
  <c r="H122" i="30"/>
  <c r="B122" i="30"/>
  <c r="H157" i="30"/>
  <c r="B157" i="30"/>
  <c r="B144" i="30"/>
  <c r="H144" i="30"/>
  <c r="H383" i="30"/>
  <c r="B383" i="30"/>
  <c r="H4" i="30"/>
  <c r="B4" i="30"/>
  <c r="B265" i="30"/>
  <c r="H265" i="30"/>
  <c r="H132" i="30"/>
  <c r="B132" i="30"/>
  <c r="H78" i="30"/>
  <c r="B78" i="30"/>
  <c r="H231" i="30"/>
  <c r="B231" i="30"/>
  <c r="B312" i="30"/>
  <c r="H312" i="30"/>
  <c r="B343" i="30"/>
  <c r="H343" i="30"/>
  <c r="B237" i="30"/>
  <c r="H237" i="30"/>
  <c r="H295" i="30"/>
  <c r="B295" i="30"/>
  <c r="H314" i="30"/>
  <c r="B314" i="30"/>
  <c r="H69" i="30"/>
  <c r="B69" i="30"/>
  <c r="B368" i="30"/>
  <c r="H368" i="30"/>
  <c r="B341" i="30"/>
  <c r="H341" i="30"/>
  <c r="B147" i="30"/>
  <c r="H147" i="30"/>
  <c r="B46" i="30"/>
  <c r="H46" i="30"/>
  <c r="H193" i="30"/>
  <c r="B193" i="30"/>
  <c r="B422" i="30"/>
  <c r="H422" i="30"/>
  <c r="H9" i="30"/>
  <c r="B9" i="30"/>
  <c r="B208" i="30"/>
  <c r="H208" i="30"/>
  <c r="B172" i="30"/>
  <c r="H172" i="30"/>
  <c r="H376" i="30"/>
  <c r="B376" i="30"/>
  <c r="B286" i="30"/>
  <c r="H286" i="30"/>
  <c r="H52" i="30"/>
  <c r="B52" i="30"/>
  <c r="H280" i="30"/>
  <c r="B280" i="30"/>
  <c r="H270" i="30"/>
  <c r="B270" i="30"/>
  <c r="B263" i="30"/>
  <c r="H263" i="30"/>
  <c r="H85" i="30"/>
  <c r="B85" i="30"/>
  <c r="B337" i="30"/>
  <c r="H337" i="30"/>
  <c r="B29" i="30"/>
  <c r="H29" i="30"/>
  <c r="B317" i="30"/>
  <c r="H317" i="30"/>
  <c r="B363" i="30"/>
  <c r="H363" i="30"/>
  <c r="H408" i="30"/>
  <c r="B408" i="30"/>
  <c r="H216" i="30"/>
  <c r="B216" i="30"/>
  <c r="H63" i="30"/>
  <c r="B63" i="30"/>
  <c r="B255" i="30"/>
  <c r="H255" i="30"/>
  <c r="H258" i="30"/>
  <c r="B258" i="30"/>
  <c r="B409" i="30"/>
  <c r="H409" i="30"/>
  <c r="B180" i="30"/>
  <c r="H180" i="30"/>
  <c r="B266" i="30"/>
  <c r="H266" i="30"/>
  <c r="H16" i="30"/>
  <c r="B16" i="30"/>
  <c r="B272" i="30"/>
  <c r="H272" i="30"/>
  <c r="B291" i="30"/>
  <c r="H291" i="30"/>
  <c r="H114" i="30"/>
  <c r="B114" i="30"/>
  <c r="B253" i="30"/>
  <c r="H253" i="30"/>
  <c r="H345" i="30"/>
  <c r="B345" i="30"/>
  <c r="H372" i="30"/>
  <c r="B372" i="30"/>
  <c r="B129" i="30"/>
  <c r="H129" i="30"/>
  <c r="H83" i="30"/>
  <c r="B83" i="30"/>
  <c r="H36" i="30"/>
  <c r="B36" i="30"/>
  <c r="H333" i="30"/>
  <c r="B333" i="30"/>
  <c r="B59" i="30"/>
  <c r="H59" i="30"/>
  <c r="H162" i="30"/>
  <c r="B162" i="30"/>
  <c r="B90" i="30"/>
  <c r="H90" i="30"/>
  <c r="B294" i="30"/>
  <c r="H294" i="30"/>
  <c r="B184" i="30"/>
  <c r="H184" i="30"/>
  <c r="H179" i="30"/>
  <c r="B179" i="30"/>
  <c r="H192" i="30"/>
  <c r="B192" i="30"/>
  <c r="B79" i="30"/>
  <c r="H79" i="30"/>
  <c r="H391" i="30"/>
  <c r="B391" i="30"/>
  <c r="B396" i="30"/>
  <c r="H396" i="30"/>
  <c r="B267" i="30"/>
  <c r="H267" i="30"/>
  <c r="B309" i="30"/>
  <c r="H309" i="30"/>
  <c r="H319" i="30"/>
  <c r="B319" i="30"/>
  <c r="H354" i="30"/>
  <c r="B354" i="30"/>
  <c r="B229" i="30"/>
  <c r="H229" i="30"/>
  <c r="H110" i="30"/>
  <c r="B110" i="30"/>
  <c r="H41" i="30"/>
  <c r="B41" i="30"/>
  <c r="B412" i="30"/>
  <c r="H412" i="30"/>
  <c r="B98" i="30"/>
  <c r="H98" i="30"/>
  <c r="B290" i="30"/>
  <c r="H290" i="30"/>
  <c r="H252" i="30"/>
  <c r="B252" i="30"/>
  <c r="H62" i="30"/>
  <c r="B62" i="30"/>
  <c r="B395" i="30"/>
  <c r="H395" i="30"/>
  <c r="B380" i="30"/>
  <c r="H380" i="30"/>
  <c r="B261" i="30"/>
  <c r="H261" i="30"/>
  <c r="B14" i="30"/>
  <c r="H14" i="30"/>
  <c r="B117" i="30"/>
  <c r="H117" i="30"/>
  <c r="B242" i="30"/>
  <c r="H242" i="30"/>
  <c r="H427" i="30"/>
  <c r="B427" i="30"/>
  <c r="B159" i="30"/>
  <c r="H159" i="30"/>
  <c r="B417" i="30"/>
  <c r="H417" i="30"/>
  <c r="H207" i="30"/>
  <c r="B207" i="30"/>
  <c r="H381" i="30"/>
  <c r="B381" i="30"/>
  <c r="B329" i="30"/>
  <c r="H329" i="30"/>
  <c r="H377" i="30"/>
  <c r="B377" i="30"/>
  <c r="B170" i="30"/>
  <c r="H170" i="30"/>
  <c r="B320" i="30"/>
  <c r="H320" i="30"/>
  <c r="B246" i="30"/>
  <c r="H246" i="30"/>
  <c r="H57" i="30"/>
  <c r="B57" i="30"/>
  <c r="B300" i="30"/>
  <c r="H300" i="30"/>
  <c r="H268" i="30"/>
  <c r="B268" i="30"/>
  <c r="B298" i="30"/>
  <c r="H298" i="30"/>
  <c r="H125" i="30"/>
  <c r="B125" i="30"/>
  <c r="H357" i="30"/>
  <c r="B357" i="30"/>
  <c r="H135" i="30"/>
  <c r="B135" i="30"/>
  <c r="H100" i="30"/>
  <c r="B100" i="30"/>
  <c r="H40" i="30"/>
  <c r="B40" i="30"/>
  <c r="B107" i="30"/>
  <c r="H107" i="30"/>
  <c r="H104" i="30"/>
  <c r="B104" i="30"/>
  <c r="B200" i="30"/>
  <c r="H200" i="30"/>
  <c r="H201" i="30"/>
  <c r="B201" i="30"/>
  <c r="B196" i="30"/>
  <c r="H196" i="30"/>
  <c r="H213" i="30"/>
  <c r="B213" i="30"/>
  <c r="B387" i="30"/>
  <c r="H387" i="30"/>
  <c r="H433" i="30"/>
  <c r="B433" i="30"/>
  <c r="H274" i="30"/>
  <c r="B274" i="30"/>
  <c r="H390" i="30"/>
  <c r="B390" i="30"/>
  <c r="H126" i="30"/>
  <c r="B126" i="30"/>
  <c r="B94" i="30"/>
  <c r="H94" i="30"/>
  <c r="H68" i="30"/>
  <c r="B68" i="30"/>
  <c r="B307" i="30"/>
  <c r="H307" i="30"/>
  <c r="H7" i="30"/>
  <c r="B7" i="30"/>
  <c r="B311" i="30"/>
  <c r="H311" i="30"/>
  <c r="B419" i="30"/>
  <c r="H419" i="30"/>
  <c r="H362" i="30"/>
  <c r="B362" i="30"/>
  <c r="B113" i="30"/>
  <c r="H113" i="30"/>
  <c r="H138" i="30"/>
  <c r="B138" i="30"/>
  <c r="B163" i="30"/>
  <c r="H163" i="30"/>
  <c r="B124" i="30"/>
  <c r="H124" i="30"/>
  <c r="H346" i="30"/>
  <c r="B346" i="30"/>
  <c r="B241" i="30"/>
  <c r="H241" i="30"/>
  <c r="B244" i="30"/>
  <c r="H244" i="30"/>
  <c r="B369" i="30"/>
  <c r="H369" i="30"/>
  <c r="H335" i="30"/>
  <c r="B335" i="30"/>
  <c r="H171" i="30"/>
  <c r="B171" i="30"/>
  <c r="H276" i="30"/>
  <c r="B276" i="30"/>
  <c r="H278" i="30"/>
  <c r="B278" i="30"/>
  <c r="B239" i="30"/>
  <c r="H239" i="30"/>
  <c r="H358" i="30"/>
  <c r="B358" i="30"/>
  <c r="H410" i="30"/>
  <c r="B410" i="30"/>
  <c r="B416" i="30"/>
  <c r="H416" i="30"/>
  <c r="B177" i="30"/>
  <c r="H177" i="30"/>
  <c r="H181" i="30"/>
  <c r="B181" i="30"/>
  <c r="B342" i="30"/>
  <c r="H342" i="30"/>
  <c r="H101" i="30"/>
  <c r="B101" i="30"/>
  <c r="B71" i="30"/>
  <c r="H71" i="30"/>
  <c r="H146" i="30"/>
  <c r="B146" i="30"/>
  <c r="B66" i="30"/>
  <c r="H66" i="30"/>
  <c r="B359" i="30"/>
  <c r="H359" i="30"/>
  <c r="B308" i="30"/>
  <c r="H308" i="30"/>
  <c r="B150" i="30"/>
  <c r="H150" i="30"/>
  <c r="H55" i="30"/>
  <c r="B55" i="30"/>
  <c r="B426" i="30"/>
  <c r="H426" i="30"/>
  <c r="H313" i="30"/>
  <c r="B313" i="30"/>
  <c r="B305" i="30"/>
  <c r="H305" i="30"/>
  <c r="B310" i="30"/>
  <c r="H310" i="30"/>
  <c r="B321" i="30"/>
  <c r="H321" i="30"/>
  <c r="H156" i="30"/>
  <c r="B156" i="30"/>
  <c r="B161" i="30"/>
  <c r="H161" i="30"/>
  <c r="B137" i="30"/>
  <c r="H137" i="30"/>
  <c r="B202" i="30"/>
  <c r="H202" i="30"/>
  <c r="B3" i="30"/>
  <c r="H3" i="30"/>
  <c r="B304" i="30"/>
  <c r="H304" i="30"/>
  <c r="B269" i="30"/>
  <c r="H269" i="30"/>
  <c r="B11" i="30"/>
  <c r="H11" i="30"/>
  <c r="B221" i="30"/>
  <c r="H221" i="30"/>
  <c r="H6" i="30"/>
  <c r="B6" i="30"/>
  <c r="B394" i="30"/>
  <c r="H394" i="30"/>
  <c r="H424" i="30"/>
  <c r="B424" i="30"/>
  <c r="H250" i="30"/>
  <c r="B250" i="30"/>
  <c r="B8" i="30"/>
  <c r="H8" i="30"/>
  <c r="B284" i="30"/>
  <c r="H284" i="30"/>
  <c r="H168" i="30"/>
  <c r="B168" i="30"/>
  <c r="B411" i="30"/>
  <c r="H411" i="30"/>
  <c r="B39" i="30"/>
  <c r="H39" i="30"/>
  <c r="H327" i="30"/>
  <c r="B327" i="30"/>
  <c r="B328" i="30"/>
  <c r="H328" i="30"/>
  <c r="H214" i="30"/>
  <c r="B214" i="30"/>
  <c r="B414" i="30"/>
  <c r="H414" i="30"/>
  <c r="H279" i="30"/>
  <c r="B279" i="30"/>
  <c r="B191" i="30"/>
  <c r="H191" i="30"/>
  <c r="B223" i="30"/>
  <c r="H223" i="30"/>
  <c r="B306" i="30"/>
  <c r="H306" i="30"/>
  <c r="H233" i="30"/>
  <c r="B233" i="30"/>
  <c r="H240" i="30"/>
  <c r="B240" i="30"/>
  <c r="H271" i="30"/>
  <c r="B271" i="30"/>
  <c r="H80" i="30"/>
  <c r="B80" i="30"/>
  <c r="H322" i="30"/>
  <c r="B322" i="30"/>
  <c r="B37" i="30"/>
  <c r="H37" i="30"/>
  <c r="H336" i="30"/>
  <c r="B336" i="30"/>
  <c r="H77" i="30"/>
  <c r="B77" i="30"/>
  <c r="H401" i="30"/>
  <c r="B401" i="30"/>
  <c r="B243" i="30"/>
  <c r="H243" i="30"/>
  <c r="H21" i="30"/>
  <c r="B21" i="30"/>
  <c r="H148" i="30"/>
  <c r="B148" i="30"/>
  <c r="H134" i="30"/>
  <c r="B134" i="30"/>
  <c r="B103" i="30"/>
  <c r="H103" i="30"/>
  <c r="B88" i="30"/>
  <c r="H88" i="30"/>
  <c r="H186" i="30"/>
  <c r="B186" i="30"/>
  <c r="H334" i="30"/>
  <c r="B334" i="30"/>
  <c r="B149" i="30"/>
  <c r="H149" i="30"/>
  <c r="H82" i="30"/>
  <c r="B82" i="30"/>
  <c r="H42" i="30"/>
  <c r="B42" i="30"/>
  <c r="H27" i="30"/>
  <c r="B27" i="30"/>
  <c r="B370" i="30"/>
  <c r="H370" i="30"/>
  <c r="H235" i="30"/>
  <c r="B235" i="30"/>
  <c r="H247" i="30"/>
  <c r="B247" i="30"/>
  <c r="B58" i="30"/>
  <c r="H58" i="30"/>
  <c r="H10" i="30"/>
  <c r="B10" i="30"/>
  <c r="H84" i="30"/>
  <c r="B84" i="30"/>
  <c r="B183" i="30"/>
  <c r="H183" i="30"/>
  <c r="B264" i="30"/>
  <c r="H264" i="30"/>
  <c r="H112" i="30"/>
  <c r="B112" i="30"/>
  <c r="B219" i="30"/>
  <c r="H219" i="30"/>
  <c r="H189" i="30"/>
  <c r="B189" i="30"/>
  <c r="B140" i="30"/>
  <c r="H140" i="30"/>
  <c r="B190" i="30"/>
  <c r="H190" i="30"/>
  <c r="B195" i="30"/>
  <c r="H195" i="30"/>
  <c r="H212" i="30"/>
  <c r="B212" i="30"/>
  <c r="B70" i="30"/>
  <c r="H70" i="30"/>
  <c r="H154" i="30"/>
  <c r="B154" i="30"/>
  <c r="H205" i="30"/>
  <c r="B205" i="30"/>
  <c r="H43" i="30"/>
  <c r="B43" i="30"/>
  <c r="H423" i="30"/>
  <c r="B423" i="30"/>
  <c r="H245" i="30"/>
  <c r="B245" i="30"/>
  <c r="H13" i="30"/>
  <c r="B13" i="30"/>
  <c r="H228" i="30"/>
  <c r="B228" i="30"/>
  <c r="B256" i="30"/>
  <c r="H256" i="30"/>
  <c r="H119" i="30"/>
  <c r="B119" i="30"/>
  <c r="H34" i="30"/>
  <c r="B34" i="30"/>
  <c r="B400" i="30"/>
  <c r="H400" i="30"/>
  <c r="H299" i="30"/>
  <c r="B299" i="30"/>
  <c r="H384" i="30"/>
  <c r="B384" i="30"/>
  <c r="B153" i="30"/>
  <c r="H153" i="30"/>
  <c r="B285" i="30"/>
  <c r="H285" i="30"/>
  <c r="B371" i="30"/>
  <c r="H371" i="30"/>
  <c r="B254" i="30"/>
  <c r="H254" i="30"/>
  <c r="H99" i="30"/>
  <c r="B99" i="30"/>
  <c r="H385" i="30"/>
  <c r="B385" i="30"/>
  <c r="H360" i="30"/>
  <c r="B360" i="30"/>
  <c r="H397" i="30"/>
  <c r="B397" i="30"/>
  <c r="B365" i="30"/>
  <c r="H365" i="30"/>
  <c r="H413" i="30"/>
  <c r="B413" i="30"/>
  <c r="B289" i="30"/>
  <c r="H289" i="30"/>
  <c r="B31" i="30"/>
  <c r="H31" i="30"/>
  <c r="H102" i="30"/>
  <c r="B102" i="30"/>
  <c r="B211" i="30"/>
  <c r="H211" i="30"/>
  <c r="B210" i="30"/>
  <c r="H210" i="30"/>
  <c r="B287" i="30"/>
  <c r="H287" i="30"/>
  <c r="B51" i="30"/>
  <c r="H51" i="30"/>
  <c r="B173" i="30"/>
  <c r="H173" i="30"/>
  <c r="B44" i="30"/>
  <c r="H44" i="30"/>
  <c r="B89" i="30"/>
  <c r="H89" i="30"/>
  <c r="H382" i="30"/>
  <c r="B382" i="30"/>
  <c r="H76" i="30"/>
  <c r="B76" i="30"/>
  <c r="B166" i="30"/>
  <c r="H166" i="30"/>
  <c r="B288" i="30"/>
  <c r="H288" i="30"/>
  <c r="B45" i="30"/>
  <c r="H45" i="30"/>
  <c r="B106" i="30"/>
  <c r="H106" i="30"/>
  <c r="H249" i="30"/>
  <c r="B249" i="30"/>
  <c r="B324" i="30"/>
  <c r="H324" i="30"/>
  <c r="H402" i="30"/>
  <c r="B402" i="30"/>
  <c r="B364" i="30"/>
  <c r="H364" i="30"/>
  <c r="B35" i="30"/>
  <c r="H35" i="30"/>
  <c r="B225" i="30"/>
  <c r="H225" i="30"/>
  <c r="H164" i="30"/>
  <c r="B164" i="30"/>
  <c r="H176" i="30"/>
  <c r="B176" i="30"/>
  <c r="B220" i="30"/>
  <c r="H220" i="30"/>
  <c r="H392" i="30"/>
  <c r="B392" i="30"/>
  <c r="H388" i="30"/>
  <c r="B388" i="30"/>
  <c r="B121" i="30"/>
  <c r="H121" i="30"/>
  <c r="B169" i="30"/>
  <c r="H169" i="30"/>
  <c r="H420" i="30"/>
  <c r="B420" i="30"/>
  <c r="H75" i="30"/>
  <c r="B75" i="30"/>
  <c r="B293" i="30"/>
  <c r="H293" i="30"/>
  <c r="H15" i="30"/>
  <c r="B15" i="30"/>
  <c r="H356" i="30"/>
  <c r="B356" i="30"/>
  <c r="B20" i="30"/>
  <c r="H20" i="30"/>
  <c r="B330" i="30"/>
  <c r="H330" i="30"/>
  <c r="H379" i="30"/>
  <c r="B379" i="30"/>
  <c r="H257" i="30"/>
  <c r="B257" i="30"/>
  <c r="H262" i="30"/>
  <c r="B262" i="30"/>
  <c r="B230" i="30"/>
  <c r="H230" i="30"/>
  <c r="B199" i="30"/>
  <c r="H199" i="30"/>
  <c r="H389" i="30"/>
  <c r="B389" i="30"/>
  <c r="B48" i="30"/>
  <c r="H48" i="30"/>
  <c r="B53" i="30"/>
  <c r="H53" i="30"/>
  <c r="L389" i="30" l="1"/>
  <c r="I389" i="30"/>
  <c r="J389" i="30"/>
  <c r="K389" i="30"/>
  <c r="K257" i="30"/>
  <c r="I257" i="30"/>
  <c r="L257" i="30"/>
  <c r="J257" i="30"/>
  <c r="K392" i="30"/>
  <c r="L392" i="30"/>
  <c r="J392" i="30"/>
  <c r="I392" i="30"/>
  <c r="L176" i="30"/>
  <c r="J176" i="30"/>
  <c r="K176" i="30"/>
  <c r="I176" i="30"/>
  <c r="L76" i="30"/>
  <c r="K76" i="30"/>
  <c r="I76" i="30"/>
  <c r="J76" i="30"/>
  <c r="L413" i="30"/>
  <c r="J413" i="30"/>
  <c r="I413" i="30"/>
  <c r="K413" i="30"/>
  <c r="J385" i="30"/>
  <c r="K385" i="30"/>
  <c r="L385" i="30"/>
  <c r="I385" i="30"/>
  <c r="I119" i="30"/>
  <c r="L119" i="30"/>
  <c r="K119" i="30"/>
  <c r="J119" i="30"/>
  <c r="I245" i="30"/>
  <c r="K245" i="30"/>
  <c r="J245" i="30"/>
  <c r="L245" i="30"/>
  <c r="I43" i="30"/>
  <c r="L43" i="30"/>
  <c r="K43" i="30"/>
  <c r="J43" i="30"/>
  <c r="I154" i="30"/>
  <c r="K154" i="30"/>
  <c r="J154" i="30"/>
  <c r="L154" i="30"/>
  <c r="J189" i="30"/>
  <c r="I189" i="30"/>
  <c r="L189" i="30"/>
  <c r="K189" i="30"/>
  <c r="K112" i="30"/>
  <c r="I112" i="30"/>
  <c r="L112" i="30"/>
  <c r="J112" i="30"/>
  <c r="K10" i="30"/>
  <c r="J10" i="30"/>
  <c r="I10" i="30"/>
  <c r="L10" i="30"/>
  <c r="K186" i="30"/>
  <c r="J186" i="30"/>
  <c r="I186" i="30"/>
  <c r="L186" i="30"/>
  <c r="I240" i="30"/>
  <c r="K240" i="30"/>
  <c r="L240" i="30"/>
  <c r="J240" i="30"/>
  <c r="I6" i="30"/>
  <c r="K6" i="30"/>
  <c r="L6" i="30"/>
  <c r="J6" i="30"/>
  <c r="J146" i="30"/>
  <c r="L146" i="30"/>
  <c r="I146" i="30"/>
  <c r="K146" i="30"/>
  <c r="I101" i="30"/>
  <c r="L101" i="30"/>
  <c r="J101" i="30"/>
  <c r="K101" i="30"/>
  <c r="K181" i="30"/>
  <c r="J181" i="30"/>
  <c r="I181" i="30"/>
  <c r="L181" i="30"/>
  <c r="K358" i="30"/>
  <c r="I358" i="30"/>
  <c r="J358" i="30"/>
  <c r="L358" i="30"/>
  <c r="K138" i="30"/>
  <c r="L138" i="30"/>
  <c r="J138" i="30"/>
  <c r="I138" i="30"/>
  <c r="K362" i="30"/>
  <c r="L362" i="30"/>
  <c r="I362" i="30"/>
  <c r="J362" i="30"/>
  <c r="J390" i="30"/>
  <c r="K390" i="30"/>
  <c r="L390" i="30"/>
  <c r="I390" i="30"/>
  <c r="I201" i="30"/>
  <c r="J201" i="30"/>
  <c r="L201" i="30"/>
  <c r="K201" i="30"/>
  <c r="I125" i="30"/>
  <c r="J125" i="30"/>
  <c r="L125" i="30"/>
  <c r="K125" i="30"/>
  <c r="K268" i="30"/>
  <c r="I268" i="30"/>
  <c r="J268" i="30"/>
  <c r="L268" i="30"/>
  <c r="K57" i="30"/>
  <c r="J57" i="30"/>
  <c r="I57" i="30"/>
  <c r="L57" i="30"/>
  <c r="K377" i="30"/>
  <c r="L377" i="30"/>
  <c r="I377" i="30"/>
  <c r="J377" i="30"/>
  <c r="I252" i="30"/>
  <c r="J252" i="30"/>
  <c r="L252" i="30"/>
  <c r="K252" i="30"/>
  <c r="J41" i="30"/>
  <c r="L41" i="30"/>
  <c r="I41" i="30"/>
  <c r="K41" i="30"/>
  <c r="J391" i="30"/>
  <c r="I391" i="30"/>
  <c r="K391" i="30"/>
  <c r="L391" i="30"/>
  <c r="K192" i="30"/>
  <c r="J192" i="30"/>
  <c r="L192" i="30"/>
  <c r="I192" i="30"/>
  <c r="L36" i="30"/>
  <c r="I36" i="30"/>
  <c r="J36" i="30"/>
  <c r="K36" i="30"/>
  <c r="I345" i="30"/>
  <c r="J345" i="30"/>
  <c r="K345" i="30"/>
  <c r="L345" i="30"/>
  <c r="K216" i="30"/>
  <c r="I216" i="30"/>
  <c r="J216" i="30"/>
  <c r="L216" i="30"/>
  <c r="K85" i="30"/>
  <c r="L85" i="30"/>
  <c r="I85" i="30"/>
  <c r="J85" i="30"/>
  <c r="L270" i="30"/>
  <c r="K270" i="30"/>
  <c r="J270" i="30"/>
  <c r="I270" i="30"/>
  <c r="L52" i="30"/>
  <c r="I52" i="30"/>
  <c r="J52" i="30"/>
  <c r="K52" i="30"/>
  <c r="J376" i="30"/>
  <c r="K376" i="30"/>
  <c r="I376" i="30"/>
  <c r="L376" i="30"/>
  <c r="L69" i="30"/>
  <c r="K69" i="30"/>
  <c r="I69" i="30"/>
  <c r="J69" i="30"/>
  <c r="J231" i="30"/>
  <c r="L231" i="30"/>
  <c r="K231" i="30"/>
  <c r="I231" i="30"/>
  <c r="I132" i="30"/>
  <c r="K132" i="30"/>
  <c r="J132" i="30"/>
  <c r="L132" i="30"/>
  <c r="J4" i="30"/>
  <c r="K4" i="30"/>
  <c r="I4" i="30"/>
  <c r="L4" i="30"/>
  <c r="I122" i="30"/>
  <c r="J122" i="30"/>
  <c r="L122" i="30"/>
  <c r="K122" i="30"/>
  <c r="L339" i="30"/>
  <c r="I339" i="30"/>
  <c r="J339" i="30"/>
  <c r="K339" i="30"/>
  <c r="I86" i="30"/>
  <c r="L86" i="30"/>
  <c r="J86" i="30"/>
  <c r="K86" i="30"/>
  <c r="K232" i="30"/>
  <c r="J232" i="30"/>
  <c r="I232" i="30"/>
  <c r="L232" i="30"/>
  <c r="L127" i="30"/>
  <c r="J127" i="30"/>
  <c r="K127" i="30"/>
  <c r="I127" i="30"/>
  <c r="L12" i="30"/>
  <c r="J12" i="30"/>
  <c r="I12" i="30"/>
  <c r="K12" i="30"/>
  <c r="L167" i="30"/>
  <c r="I167" i="30"/>
  <c r="J167" i="30"/>
  <c r="K167" i="30"/>
  <c r="J301" i="30"/>
  <c r="K301" i="30"/>
  <c r="L301" i="30"/>
  <c r="I301" i="30"/>
  <c r="L292" i="30"/>
  <c r="K292" i="30"/>
  <c r="J292" i="30"/>
  <c r="I292" i="30"/>
  <c r="I194" i="30"/>
  <c r="J194" i="30"/>
  <c r="L194" i="30"/>
  <c r="K194" i="30"/>
  <c r="I185" i="30"/>
  <c r="L185" i="30"/>
  <c r="J185" i="30"/>
  <c r="K185" i="30"/>
  <c r="J238" i="30"/>
  <c r="K238" i="30"/>
  <c r="I238" i="30"/>
  <c r="L238" i="30"/>
  <c r="L120" i="30"/>
  <c r="K120" i="30"/>
  <c r="I120" i="30"/>
  <c r="J120" i="30"/>
  <c r="J188" i="30"/>
  <c r="I188" i="30"/>
  <c r="K188" i="30"/>
  <c r="L188" i="30"/>
  <c r="L227" i="30"/>
  <c r="I227" i="30"/>
  <c r="K227" i="30"/>
  <c r="J227" i="30"/>
  <c r="I366" i="30"/>
  <c r="J366" i="30"/>
  <c r="K366" i="30"/>
  <c r="L366" i="30"/>
  <c r="L403" i="30"/>
  <c r="K403" i="30"/>
  <c r="I403" i="30"/>
  <c r="J403" i="30"/>
  <c r="K273" i="30"/>
  <c r="I273" i="30"/>
  <c r="L273" i="30"/>
  <c r="J273" i="30"/>
  <c r="L236" i="30"/>
  <c r="J236" i="30"/>
  <c r="I236" i="30"/>
  <c r="K236" i="30"/>
  <c r="L50" i="30"/>
  <c r="K50" i="30"/>
  <c r="J50" i="30"/>
  <c r="I50" i="30"/>
  <c r="I87" i="30"/>
  <c r="L87" i="30"/>
  <c r="K87" i="30"/>
  <c r="J87" i="30"/>
  <c r="J131" i="30"/>
  <c r="L131" i="30"/>
  <c r="I131" i="30"/>
  <c r="K131" i="30"/>
  <c r="L74" i="30"/>
  <c r="I74" i="30"/>
  <c r="K74" i="30"/>
  <c r="J74" i="30"/>
  <c r="J399" i="30"/>
  <c r="K399" i="30"/>
  <c r="I399" i="30"/>
  <c r="L399" i="30"/>
  <c r="I56" i="30"/>
  <c r="L56" i="30"/>
  <c r="K56" i="30"/>
  <c r="J56" i="30"/>
  <c r="J418" i="30"/>
  <c r="L418" i="30"/>
  <c r="I418" i="30"/>
  <c r="K418" i="30"/>
  <c r="L91" i="30"/>
  <c r="J91" i="30"/>
  <c r="K91" i="30"/>
  <c r="I91" i="30"/>
  <c r="J73" i="30"/>
  <c r="L73" i="30"/>
  <c r="I73" i="30"/>
  <c r="K73" i="30"/>
  <c r="L143" i="30"/>
  <c r="K143" i="30"/>
  <c r="J143" i="30"/>
  <c r="I143" i="30"/>
  <c r="I48" i="30"/>
  <c r="K48" i="30"/>
  <c r="L48" i="30"/>
  <c r="J48" i="30"/>
  <c r="L199" i="30"/>
  <c r="I199" i="30"/>
  <c r="J199" i="30"/>
  <c r="K199" i="30"/>
  <c r="K20" i="30"/>
  <c r="L20" i="30"/>
  <c r="J20" i="30"/>
  <c r="I20" i="30"/>
  <c r="I220" i="30"/>
  <c r="K220" i="30"/>
  <c r="J220" i="30"/>
  <c r="L220" i="30"/>
  <c r="J35" i="30"/>
  <c r="L35" i="30"/>
  <c r="K35" i="30"/>
  <c r="I35" i="30"/>
  <c r="I45" i="30"/>
  <c r="L45" i="30"/>
  <c r="K45" i="30"/>
  <c r="J45" i="30"/>
  <c r="L166" i="30"/>
  <c r="J166" i="30"/>
  <c r="K166" i="30"/>
  <c r="I166" i="30"/>
  <c r="L44" i="30"/>
  <c r="J44" i="30"/>
  <c r="K44" i="30"/>
  <c r="I44" i="30"/>
  <c r="J289" i="30"/>
  <c r="I289" i="30"/>
  <c r="K289" i="30"/>
  <c r="L289" i="30"/>
  <c r="L365" i="30"/>
  <c r="K365" i="30"/>
  <c r="J365" i="30"/>
  <c r="I365" i="30"/>
  <c r="I371" i="30"/>
  <c r="J371" i="30"/>
  <c r="L371" i="30"/>
  <c r="K371" i="30"/>
  <c r="L153" i="30"/>
  <c r="K153" i="30"/>
  <c r="I153" i="30"/>
  <c r="J153" i="30"/>
  <c r="J256" i="30"/>
  <c r="K256" i="30"/>
  <c r="L256" i="30"/>
  <c r="I256" i="30"/>
  <c r="I195" i="30"/>
  <c r="L195" i="30"/>
  <c r="J195" i="30"/>
  <c r="K195" i="30"/>
  <c r="L219" i="30"/>
  <c r="I219" i="30"/>
  <c r="J219" i="30"/>
  <c r="K219" i="30"/>
  <c r="J58" i="30"/>
  <c r="K58" i="30"/>
  <c r="I58" i="30"/>
  <c r="L58" i="30"/>
  <c r="J411" i="30"/>
  <c r="K411" i="30"/>
  <c r="I411" i="30"/>
  <c r="L411" i="30"/>
  <c r="K284" i="30"/>
  <c r="L284" i="30"/>
  <c r="I284" i="30"/>
  <c r="J284" i="30"/>
  <c r="I394" i="30"/>
  <c r="J394" i="30"/>
  <c r="L394" i="30"/>
  <c r="K394" i="30"/>
  <c r="J221" i="30"/>
  <c r="L221" i="30"/>
  <c r="I221" i="30"/>
  <c r="K221" i="30"/>
  <c r="I269" i="30"/>
  <c r="L269" i="30"/>
  <c r="J269" i="30"/>
  <c r="K269" i="30"/>
  <c r="K3" i="30"/>
  <c r="J3" i="30"/>
  <c r="I3" i="30"/>
  <c r="L3" i="30"/>
  <c r="K137" i="30"/>
  <c r="J137" i="30"/>
  <c r="I137" i="30"/>
  <c r="L137" i="30"/>
  <c r="I310" i="30"/>
  <c r="J310" i="30"/>
  <c r="K310" i="30"/>
  <c r="L310" i="30"/>
  <c r="J308" i="30"/>
  <c r="I308" i="30"/>
  <c r="K308" i="30"/>
  <c r="L308" i="30"/>
  <c r="J66" i="30"/>
  <c r="K66" i="30"/>
  <c r="I66" i="30"/>
  <c r="L66" i="30"/>
  <c r="I71" i="30"/>
  <c r="L71" i="30"/>
  <c r="K71" i="30"/>
  <c r="J71" i="30"/>
  <c r="J342" i="30"/>
  <c r="K342" i="30"/>
  <c r="I342" i="30"/>
  <c r="L342" i="30"/>
  <c r="J177" i="30"/>
  <c r="L177" i="30"/>
  <c r="I177" i="30"/>
  <c r="K177" i="30"/>
  <c r="I239" i="30"/>
  <c r="J239" i="30"/>
  <c r="K239" i="30"/>
  <c r="L239" i="30"/>
  <c r="I244" i="30"/>
  <c r="J244" i="30"/>
  <c r="K244" i="30"/>
  <c r="L244" i="30"/>
  <c r="I163" i="30"/>
  <c r="K163" i="30"/>
  <c r="J163" i="30"/>
  <c r="L163" i="30"/>
  <c r="L113" i="30"/>
  <c r="J113" i="30"/>
  <c r="K113" i="30"/>
  <c r="I113" i="30"/>
  <c r="I419" i="30"/>
  <c r="J419" i="30"/>
  <c r="K419" i="30"/>
  <c r="L419" i="30"/>
  <c r="I387" i="30"/>
  <c r="K387" i="30"/>
  <c r="L387" i="30"/>
  <c r="J387" i="30"/>
  <c r="K196" i="30"/>
  <c r="J196" i="30"/>
  <c r="I196" i="30"/>
  <c r="L196" i="30"/>
  <c r="K200" i="30"/>
  <c r="I200" i="30"/>
  <c r="J200" i="30"/>
  <c r="L200" i="30"/>
  <c r="K107" i="30"/>
  <c r="J107" i="30"/>
  <c r="I107" i="30"/>
  <c r="L107" i="30"/>
  <c r="K298" i="30"/>
  <c r="L298" i="30"/>
  <c r="I298" i="30"/>
  <c r="J298" i="30"/>
  <c r="K300" i="30"/>
  <c r="I300" i="30"/>
  <c r="J300" i="30"/>
  <c r="L300" i="30"/>
  <c r="K246" i="30"/>
  <c r="J246" i="30"/>
  <c r="L246" i="30"/>
  <c r="I246" i="30"/>
  <c r="K170" i="30"/>
  <c r="I170" i="30"/>
  <c r="L170" i="30"/>
  <c r="J170" i="30"/>
  <c r="L329" i="30"/>
  <c r="J329" i="30"/>
  <c r="K329" i="30"/>
  <c r="I329" i="30"/>
  <c r="K159" i="30"/>
  <c r="J159" i="30"/>
  <c r="I159" i="30"/>
  <c r="L159" i="30"/>
  <c r="J242" i="30"/>
  <c r="K242" i="30"/>
  <c r="L242" i="30"/>
  <c r="I242" i="30"/>
  <c r="K14" i="30"/>
  <c r="L14" i="30"/>
  <c r="I14" i="30"/>
  <c r="J14" i="30"/>
  <c r="K380" i="30"/>
  <c r="I380" i="30"/>
  <c r="L380" i="30"/>
  <c r="J380" i="30"/>
  <c r="K290" i="30"/>
  <c r="L290" i="30"/>
  <c r="I290" i="30"/>
  <c r="J290" i="30"/>
  <c r="K412" i="30"/>
  <c r="L412" i="30"/>
  <c r="I412" i="30"/>
  <c r="J412" i="30"/>
  <c r="K309" i="30"/>
  <c r="L309" i="30"/>
  <c r="J309" i="30"/>
  <c r="I309" i="30"/>
  <c r="K396" i="30"/>
  <c r="J396" i="30"/>
  <c r="I396" i="30"/>
  <c r="L396" i="30"/>
  <c r="J79" i="30"/>
  <c r="L79" i="30"/>
  <c r="K79" i="30"/>
  <c r="I79" i="30"/>
  <c r="I294" i="30"/>
  <c r="J294" i="30"/>
  <c r="L294" i="30"/>
  <c r="K294" i="30"/>
  <c r="J253" i="30"/>
  <c r="L253" i="30"/>
  <c r="I253" i="30"/>
  <c r="K253" i="30"/>
  <c r="K291" i="30"/>
  <c r="J291" i="30"/>
  <c r="L291" i="30"/>
  <c r="I291" i="30"/>
  <c r="K180" i="30"/>
  <c r="I180" i="30"/>
  <c r="J180" i="30"/>
  <c r="L180" i="30"/>
  <c r="J317" i="30"/>
  <c r="L317" i="30"/>
  <c r="K317" i="30"/>
  <c r="I317" i="30"/>
  <c r="K337" i="30"/>
  <c r="L337" i="30"/>
  <c r="J337" i="30"/>
  <c r="I337" i="30"/>
  <c r="L263" i="30"/>
  <c r="J263" i="30"/>
  <c r="K263" i="30"/>
  <c r="I263" i="30"/>
  <c r="K286" i="30"/>
  <c r="I286" i="30"/>
  <c r="L286" i="30"/>
  <c r="J286" i="30"/>
  <c r="K172" i="30"/>
  <c r="J172" i="30"/>
  <c r="I172" i="30"/>
  <c r="L172" i="30"/>
  <c r="K147" i="30"/>
  <c r="J147" i="30"/>
  <c r="L147" i="30"/>
  <c r="I147" i="30"/>
  <c r="K368" i="30"/>
  <c r="I368" i="30"/>
  <c r="L368" i="30"/>
  <c r="J368" i="30"/>
  <c r="J237" i="30"/>
  <c r="K237" i="30"/>
  <c r="L237" i="30"/>
  <c r="I237" i="30"/>
  <c r="J312" i="30"/>
  <c r="K312" i="30"/>
  <c r="I312" i="30"/>
  <c r="L312" i="30"/>
  <c r="L265" i="30"/>
  <c r="I265" i="30"/>
  <c r="J265" i="30"/>
  <c r="K265" i="30"/>
  <c r="K81" i="30"/>
  <c r="I81" i="30"/>
  <c r="J81" i="30"/>
  <c r="L81" i="30"/>
  <c r="K22" i="30"/>
  <c r="I22" i="30"/>
  <c r="L22" i="30"/>
  <c r="J22" i="30"/>
  <c r="K96" i="30"/>
  <c r="L96" i="30"/>
  <c r="I96" i="30"/>
  <c r="J96" i="30"/>
  <c r="L303" i="30"/>
  <c r="J303" i="30"/>
  <c r="I303" i="30"/>
  <c r="K303" i="30"/>
  <c r="K23" i="30"/>
  <c r="L23" i="30"/>
  <c r="I23" i="30"/>
  <c r="J23" i="30"/>
  <c r="L198" i="30"/>
  <c r="I198" i="30"/>
  <c r="K198" i="30"/>
  <c r="J198" i="30"/>
  <c r="K421" i="30"/>
  <c r="I421" i="30"/>
  <c r="J421" i="30"/>
  <c r="L421" i="30"/>
  <c r="L116" i="30"/>
  <c r="J116" i="30"/>
  <c r="I116" i="30"/>
  <c r="K116" i="30"/>
  <c r="I108" i="30"/>
  <c r="L108" i="30"/>
  <c r="J108" i="30"/>
  <c r="K108" i="30"/>
  <c r="J415" i="30"/>
  <c r="I415" i="30"/>
  <c r="K415" i="30"/>
  <c r="L415" i="30"/>
  <c r="J349" i="30"/>
  <c r="K349" i="30"/>
  <c r="I349" i="30"/>
  <c r="L349" i="30"/>
  <c r="L367" i="30"/>
  <c r="I367" i="30"/>
  <c r="K367" i="30"/>
  <c r="J367" i="30"/>
  <c r="L28" i="30"/>
  <c r="J28" i="30"/>
  <c r="K28" i="30"/>
  <c r="I28" i="30"/>
  <c r="J64" i="30"/>
  <c r="L64" i="30"/>
  <c r="I64" i="30"/>
  <c r="K64" i="30"/>
  <c r="I374" i="30"/>
  <c r="K374" i="30"/>
  <c r="J374" i="30"/>
  <c r="L374" i="30"/>
  <c r="J160" i="30"/>
  <c r="I160" i="30"/>
  <c r="L160" i="30"/>
  <c r="K160" i="30"/>
  <c r="I92" i="30"/>
  <c r="L92" i="30"/>
  <c r="J92" i="30"/>
  <c r="K92" i="30"/>
  <c r="I386" i="30"/>
  <c r="K386" i="30"/>
  <c r="J386" i="30"/>
  <c r="L386" i="30"/>
  <c r="J277" i="30"/>
  <c r="K277" i="30"/>
  <c r="I277" i="30"/>
  <c r="L277" i="30"/>
  <c r="K375" i="30"/>
  <c r="I375" i="30"/>
  <c r="J375" i="30"/>
  <c r="L375" i="30"/>
  <c r="L61" i="30"/>
  <c r="K61" i="30"/>
  <c r="J61" i="30"/>
  <c r="I61" i="30"/>
  <c r="L145" i="30"/>
  <c r="I145" i="30"/>
  <c r="J145" i="30"/>
  <c r="K145" i="30"/>
  <c r="K326" i="30"/>
  <c r="J326" i="30"/>
  <c r="I326" i="30"/>
  <c r="L326" i="30"/>
  <c r="J203" i="30"/>
  <c r="L203" i="30"/>
  <c r="I203" i="30"/>
  <c r="K203" i="30"/>
  <c r="I217" i="30"/>
  <c r="J217" i="30"/>
  <c r="L217" i="30"/>
  <c r="K217" i="30"/>
  <c r="J65" i="30"/>
  <c r="I65" i="30"/>
  <c r="K65" i="30"/>
  <c r="L65" i="30"/>
  <c r="I30" i="30"/>
  <c r="L30" i="30"/>
  <c r="J30" i="30"/>
  <c r="K30" i="30"/>
  <c r="K54" i="30"/>
  <c r="L54" i="30"/>
  <c r="I54" i="30"/>
  <c r="J54" i="30"/>
  <c r="K25" i="30"/>
  <c r="L25" i="30"/>
  <c r="I25" i="30"/>
  <c r="J25" i="30"/>
  <c r="L2" i="30"/>
  <c r="J2" i="30"/>
  <c r="K2" i="30"/>
  <c r="I325" i="30"/>
  <c r="L325" i="30"/>
  <c r="K325" i="30"/>
  <c r="J325" i="30"/>
  <c r="I222" i="30"/>
  <c r="J222" i="30"/>
  <c r="K222" i="30"/>
  <c r="L222" i="30"/>
  <c r="L393" i="30"/>
  <c r="I393" i="30"/>
  <c r="K393" i="30"/>
  <c r="J393" i="30"/>
  <c r="K316" i="30"/>
  <c r="I316" i="30"/>
  <c r="J316" i="30"/>
  <c r="L316" i="30"/>
  <c r="I407" i="30"/>
  <c r="K407" i="30"/>
  <c r="J407" i="30"/>
  <c r="L407" i="30"/>
  <c r="K262" i="30"/>
  <c r="I262" i="30"/>
  <c r="L262" i="30"/>
  <c r="J262" i="30"/>
  <c r="J379" i="30"/>
  <c r="K379" i="30"/>
  <c r="I379" i="30"/>
  <c r="L379" i="30"/>
  <c r="I15" i="30"/>
  <c r="L15" i="30"/>
  <c r="K15" i="30"/>
  <c r="J15" i="30"/>
  <c r="I75" i="30"/>
  <c r="J75" i="30"/>
  <c r="L75" i="30"/>
  <c r="K75" i="30"/>
  <c r="L388" i="30"/>
  <c r="J388" i="30"/>
  <c r="K388" i="30"/>
  <c r="I388" i="30"/>
  <c r="L164" i="30"/>
  <c r="K164" i="30"/>
  <c r="J164" i="30"/>
  <c r="I164" i="30"/>
  <c r="L402" i="30"/>
  <c r="I402" i="30"/>
  <c r="J402" i="30"/>
  <c r="K402" i="30"/>
  <c r="L249" i="30"/>
  <c r="J249" i="30"/>
  <c r="K249" i="30"/>
  <c r="I249" i="30"/>
  <c r="K382" i="30"/>
  <c r="I382" i="30"/>
  <c r="J382" i="30"/>
  <c r="L382" i="30"/>
  <c r="K102" i="30"/>
  <c r="J102" i="30"/>
  <c r="I102" i="30"/>
  <c r="L102" i="30"/>
  <c r="I360" i="30"/>
  <c r="K360" i="30"/>
  <c r="J360" i="30"/>
  <c r="L360" i="30"/>
  <c r="J99" i="30"/>
  <c r="K99" i="30"/>
  <c r="I99" i="30"/>
  <c r="L99" i="30"/>
  <c r="L299" i="30"/>
  <c r="K299" i="30"/>
  <c r="J299" i="30"/>
  <c r="I299" i="30"/>
  <c r="L34" i="30"/>
  <c r="I34" i="30"/>
  <c r="J34" i="30"/>
  <c r="K34" i="30"/>
  <c r="I13" i="30"/>
  <c r="L13" i="30"/>
  <c r="K13" i="30"/>
  <c r="J13" i="30"/>
  <c r="I423" i="30"/>
  <c r="K423" i="30"/>
  <c r="J423" i="30"/>
  <c r="L423" i="30"/>
  <c r="J205" i="30"/>
  <c r="I205" i="30"/>
  <c r="L205" i="30"/>
  <c r="K205" i="30"/>
  <c r="I84" i="30"/>
  <c r="J84" i="30"/>
  <c r="L84" i="30"/>
  <c r="K84" i="30"/>
  <c r="K235" i="30"/>
  <c r="L235" i="30"/>
  <c r="J235" i="30"/>
  <c r="I235" i="30"/>
  <c r="J27" i="30"/>
  <c r="L27" i="30"/>
  <c r="I27" i="30"/>
  <c r="K27" i="30"/>
  <c r="K82" i="30"/>
  <c r="L82" i="30"/>
  <c r="I82" i="30"/>
  <c r="J82" i="30"/>
  <c r="J334" i="30"/>
  <c r="K334" i="30"/>
  <c r="I334" i="30"/>
  <c r="L334" i="30"/>
  <c r="I134" i="30"/>
  <c r="J134" i="30"/>
  <c r="K134" i="30"/>
  <c r="L134" i="30"/>
  <c r="I21" i="30"/>
  <c r="L21" i="30"/>
  <c r="K21" i="30"/>
  <c r="J21" i="30"/>
  <c r="L401" i="30"/>
  <c r="K401" i="30"/>
  <c r="I401" i="30"/>
  <c r="J401" i="30"/>
  <c r="K336" i="30"/>
  <c r="J336" i="30"/>
  <c r="I336" i="30"/>
  <c r="L336" i="30"/>
  <c r="L322" i="30"/>
  <c r="J322" i="30"/>
  <c r="K322" i="30"/>
  <c r="I322" i="30"/>
  <c r="K271" i="30"/>
  <c r="I271" i="30"/>
  <c r="L271" i="30"/>
  <c r="J271" i="30"/>
  <c r="K233" i="30"/>
  <c r="I233" i="30"/>
  <c r="J233" i="30"/>
  <c r="L233" i="30"/>
  <c r="L279" i="30"/>
  <c r="J279" i="30"/>
  <c r="K279" i="30"/>
  <c r="I279" i="30"/>
  <c r="I214" i="30"/>
  <c r="L214" i="30"/>
  <c r="J214" i="30"/>
  <c r="K214" i="30"/>
  <c r="I327" i="30"/>
  <c r="K327" i="30"/>
  <c r="J327" i="30"/>
  <c r="L327" i="30"/>
  <c r="L250" i="30"/>
  <c r="I250" i="30"/>
  <c r="K250" i="30"/>
  <c r="J250" i="30"/>
  <c r="I156" i="30"/>
  <c r="J156" i="30"/>
  <c r="L156" i="30"/>
  <c r="K156" i="30"/>
  <c r="K313" i="30"/>
  <c r="J313" i="30"/>
  <c r="L313" i="30"/>
  <c r="I313" i="30"/>
  <c r="J55" i="30"/>
  <c r="I55" i="30"/>
  <c r="L55" i="30"/>
  <c r="K55" i="30"/>
  <c r="I410" i="30"/>
  <c r="J410" i="30"/>
  <c r="L410" i="30"/>
  <c r="K410" i="30"/>
  <c r="K276" i="30"/>
  <c r="J276" i="30"/>
  <c r="I276" i="30"/>
  <c r="L276" i="30"/>
  <c r="J335" i="30"/>
  <c r="I335" i="30"/>
  <c r="K335" i="30"/>
  <c r="L335" i="30"/>
  <c r="J346" i="30"/>
  <c r="L346" i="30"/>
  <c r="K346" i="30"/>
  <c r="I346" i="30"/>
  <c r="I7" i="30"/>
  <c r="K7" i="30"/>
  <c r="L7" i="30"/>
  <c r="J7" i="30"/>
  <c r="I68" i="30"/>
  <c r="J68" i="30"/>
  <c r="L68" i="30"/>
  <c r="K68" i="30"/>
  <c r="I126" i="30"/>
  <c r="K126" i="30"/>
  <c r="L126" i="30"/>
  <c r="J126" i="30"/>
  <c r="K274" i="30"/>
  <c r="L274" i="30"/>
  <c r="I274" i="30"/>
  <c r="J274" i="30"/>
  <c r="L100" i="30"/>
  <c r="I100" i="30"/>
  <c r="J100" i="30"/>
  <c r="K100" i="30"/>
  <c r="J357" i="30"/>
  <c r="L357" i="30"/>
  <c r="I357" i="30"/>
  <c r="K357" i="30"/>
  <c r="I207" i="30"/>
  <c r="J207" i="30"/>
  <c r="K207" i="30"/>
  <c r="L207" i="30"/>
  <c r="L62" i="30"/>
  <c r="K62" i="30"/>
  <c r="I62" i="30"/>
  <c r="J62" i="30"/>
  <c r="K110" i="30"/>
  <c r="J110" i="30"/>
  <c r="L110" i="30"/>
  <c r="I110" i="30"/>
  <c r="K354" i="30"/>
  <c r="J354" i="30"/>
  <c r="I354" i="30"/>
  <c r="L354" i="30"/>
  <c r="K179" i="30"/>
  <c r="L179" i="30"/>
  <c r="J179" i="30"/>
  <c r="I179" i="30"/>
  <c r="J162" i="30"/>
  <c r="I162" i="30"/>
  <c r="K162" i="30"/>
  <c r="L162" i="30"/>
  <c r="I333" i="30"/>
  <c r="K333" i="30"/>
  <c r="L333" i="30"/>
  <c r="J333" i="30"/>
  <c r="L83" i="30"/>
  <c r="K83" i="30"/>
  <c r="J83" i="30"/>
  <c r="I83" i="30"/>
  <c r="L372" i="30"/>
  <c r="J372" i="30"/>
  <c r="K372" i="30"/>
  <c r="I372" i="30"/>
  <c r="L16" i="30"/>
  <c r="J16" i="30"/>
  <c r="K16" i="30"/>
  <c r="I16" i="30"/>
  <c r="J258" i="30"/>
  <c r="K258" i="30"/>
  <c r="I258" i="30"/>
  <c r="L258" i="30"/>
  <c r="I63" i="30"/>
  <c r="L63" i="30"/>
  <c r="K63" i="30"/>
  <c r="J63" i="30"/>
  <c r="J408" i="30"/>
  <c r="L408" i="30"/>
  <c r="K408" i="30"/>
  <c r="I408" i="30"/>
  <c r="J280" i="30"/>
  <c r="K280" i="30"/>
  <c r="I280" i="30"/>
  <c r="L280" i="30"/>
  <c r="I9" i="30"/>
  <c r="J9" i="30"/>
  <c r="L9" i="30"/>
  <c r="K9" i="30"/>
  <c r="K193" i="30"/>
  <c r="J193" i="30"/>
  <c r="L193" i="30"/>
  <c r="I193" i="30"/>
  <c r="J314" i="30"/>
  <c r="I314" i="30"/>
  <c r="L314" i="30"/>
  <c r="K314" i="30"/>
  <c r="K78" i="30"/>
  <c r="L78" i="30"/>
  <c r="I78" i="30"/>
  <c r="J78" i="30"/>
  <c r="K383" i="30"/>
  <c r="L383" i="30"/>
  <c r="J383" i="30"/>
  <c r="I383" i="30"/>
  <c r="J157" i="30"/>
  <c r="K157" i="30"/>
  <c r="L157" i="30"/>
  <c r="I157" i="30"/>
  <c r="J24" i="30"/>
  <c r="I24" i="30"/>
  <c r="K24" i="30"/>
  <c r="L24" i="30"/>
  <c r="K118" i="30"/>
  <c r="I118" i="30"/>
  <c r="J118" i="30"/>
  <c r="L118" i="30"/>
  <c r="K38" i="30"/>
  <c r="I38" i="30"/>
  <c r="L38" i="30"/>
  <c r="J38" i="30"/>
  <c r="L17" i="30"/>
  <c r="I17" i="30"/>
  <c r="J17" i="30"/>
  <c r="K17" i="30"/>
  <c r="K152" i="30"/>
  <c r="L152" i="30"/>
  <c r="I152" i="30"/>
  <c r="J152" i="30"/>
  <c r="L302" i="30"/>
  <c r="K302" i="30"/>
  <c r="J302" i="30"/>
  <c r="I302" i="30"/>
  <c r="J5" i="30"/>
  <c r="K5" i="30"/>
  <c r="L5" i="30"/>
  <c r="I5" i="30"/>
  <c r="J338" i="30"/>
  <c r="L338" i="30"/>
  <c r="I338" i="30"/>
  <c r="K338" i="30"/>
  <c r="K128" i="30"/>
  <c r="J128" i="30"/>
  <c r="I128" i="30"/>
  <c r="L128" i="30"/>
  <c r="L405" i="30"/>
  <c r="J405" i="30"/>
  <c r="K405" i="30"/>
  <c r="I405" i="30"/>
  <c r="J315" i="30"/>
  <c r="L315" i="30"/>
  <c r="K315" i="30"/>
  <c r="I315" i="30"/>
  <c r="L18" i="30"/>
  <c r="J18" i="30"/>
  <c r="I18" i="30"/>
  <c r="K18" i="30"/>
  <c r="I204" i="30"/>
  <c r="L204" i="30"/>
  <c r="J204" i="30"/>
  <c r="K204" i="30"/>
  <c r="I142" i="30"/>
  <c r="J142" i="30"/>
  <c r="L142" i="30"/>
  <c r="K142" i="30"/>
  <c r="K26" i="30"/>
  <c r="L26" i="30"/>
  <c r="J26" i="30"/>
  <c r="I26" i="30"/>
  <c r="L151" i="30"/>
  <c r="K151" i="30"/>
  <c r="J151" i="30"/>
  <c r="I151" i="30"/>
  <c r="L398" i="30"/>
  <c r="K398" i="30"/>
  <c r="J398" i="30"/>
  <c r="I398" i="30"/>
  <c r="L296" i="30"/>
  <c r="I296" i="30"/>
  <c r="K296" i="30"/>
  <c r="J296" i="30"/>
  <c r="I206" i="30"/>
  <c r="K206" i="30"/>
  <c r="L206" i="30"/>
  <c r="J206" i="30"/>
  <c r="I350" i="30"/>
  <c r="J350" i="30"/>
  <c r="L350" i="30"/>
  <c r="K350" i="30"/>
  <c r="L111" i="30"/>
  <c r="J111" i="30"/>
  <c r="I111" i="30"/>
  <c r="K111" i="30"/>
  <c r="L47" i="30"/>
  <c r="J47" i="30"/>
  <c r="I47" i="30"/>
  <c r="K47" i="30"/>
  <c r="I352" i="30"/>
  <c r="L352" i="30"/>
  <c r="K352" i="30"/>
  <c r="J352" i="30"/>
  <c r="J260" i="30"/>
  <c r="I260" i="30"/>
  <c r="K260" i="30"/>
  <c r="L260" i="30"/>
  <c r="I72" i="30"/>
  <c r="J72" i="30"/>
  <c r="K72" i="30"/>
  <c r="L72" i="30"/>
  <c r="L344" i="30"/>
  <c r="I344" i="30"/>
  <c r="K344" i="30"/>
  <c r="J344" i="30"/>
  <c r="J197" i="30"/>
  <c r="L197" i="30"/>
  <c r="I197" i="30"/>
  <c r="K197" i="30"/>
  <c r="K224" i="30"/>
  <c r="J224" i="30"/>
  <c r="L224" i="30"/>
  <c r="I224" i="30"/>
  <c r="L323" i="30"/>
  <c r="J323" i="30"/>
  <c r="K323" i="30"/>
  <c r="I323" i="30"/>
  <c r="J378" i="30"/>
  <c r="L378" i="30"/>
  <c r="I378" i="30"/>
  <c r="K378" i="30"/>
  <c r="L155" i="30"/>
  <c r="I155" i="30"/>
  <c r="K155" i="30"/>
  <c r="J155" i="30"/>
  <c r="I234" i="30"/>
  <c r="J234" i="30"/>
  <c r="L234" i="30"/>
  <c r="K234" i="30"/>
  <c r="J93" i="30"/>
  <c r="L93" i="30"/>
  <c r="K93" i="30"/>
  <c r="I93" i="30"/>
  <c r="K130" i="30"/>
  <c r="I130" i="30"/>
  <c r="J130" i="30"/>
  <c r="L130" i="30"/>
  <c r="K348" i="30"/>
  <c r="I348" i="30"/>
  <c r="J348" i="30"/>
  <c r="L348" i="30"/>
  <c r="K226" i="30"/>
  <c r="I226" i="30"/>
  <c r="J226" i="30"/>
  <c r="L226" i="30"/>
  <c r="J281" i="30"/>
  <c r="I281" i="30"/>
  <c r="K281" i="30"/>
  <c r="L281" i="30"/>
  <c r="I259" i="30"/>
  <c r="L259" i="30"/>
  <c r="J259" i="30"/>
  <c r="K259" i="30"/>
  <c r="K165" i="30"/>
  <c r="I165" i="30"/>
  <c r="J165" i="30"/>
  <c r="L165" i="30"/>
  <c r="L356" i="30"/>
  <c r="K356" i="30"/>
  <c r="J356" i="30"/>
  <c r="I356" i="30"/>
  <c r="J420" i="30"/>
  <c r="L420" i="30"/>
  <c r="I420" i="30"/>
  <c r="K420" i="30"/>
  <c r="J397" i="30"/>
  <c r="L397" i="30"/>
  <c r="I397" i="30"/>
  <c r="K397" i="30"/>
  <c r="I384" i="30"/>
  <c r="K384" i="30"/>
  <c r="L384" i="30"/>
  <c r="J384" i="30"/>
  <c r="L228" i="30"/>
  <c r="J228" i="30"/>
  <c r="K228" i="30"/>
  <c r="I228" i="30"/>
  <c r="I212" i="30"/>
  <c r="K212" i="30"/>
  <c r="J212" i="30"/>
  <c r="L212" i="30"/>
  <c r="J247" i="30"/>
  <c r="I247" i="30"/>
  <c r="L247" i="30"/>
  <c r="K247" i="30"/>
  <c r="I42" i="30"/>
  <c r="K42" i="30"/>
  <c r="L42" i="30"/>
  <c r="J42" i="30"/>
  <c r="I148" i="30"/>
  <c r="L148" i="30"/>
  <c r="K148" i="30"/>
  <c r="J148" i="30"/>
  <c r="J77" i="30"/>
  <c r="L77" i="30"/>
  <c r="I77" i="30"/>
  <c r="K77" i="30"/>
  <c r="K80" i="30"/>
  <c r="I80" i="30"/>
  <c r="J80" i="30"/>
  <c r="L80" i="30"/>
  <c r="K168" i="30"/>
  <c r="L168" i="30"/>
  <c r="I168" i="30"/>
  <c r="J168" i="30"/>
  <c r="L424" i="30"/>
  <c r="K424" i="30"/>
  <c r="J424" i="30"/>
  <c r="I424" i="30"/>
  <c r="I278" i="30"/>
  <c r="L278" i="30"/>
  <c r="K278" i="30"/>
  <c r="J278" i="30"/>
  <c r="I171" i="30"/>
  <c r="K171" i="30"/>
  <c r="L171" i="30"/>
  <c r="J171" i="30"/>
  <c r="I433" i="30"/>
  <c r="L433" i="30"/>
  <c r="K433" i="30"/>
  <c r="J433" i="30"/>
  <c r="L213" i="30"/>
  <c r="K213" i="30"/>
  <c r="J213" i="30"/>
  <c r="I213" i="30"/>
  <c r="K104" i="30"/>
  <c r="J104" i="30"/>
  <c r="L104" i="30"/>
  <c r="I104" i="30"/>
  <c r="J40" i="30"/>
  <c r="I40" i="30"/>
  <c r="K40" i="30"/>
  <c r="L40" i="30"/>
  <c r="J135" i="30"/>
  <c r="K135" i="30"/>
  <c r="I135" i="30"/>
  <c r="L135" i="30"/>
  <c r="J381" i="30"/>
  <c r="I381" i="30"/>
  <c r="K381" i="30"/>
  <c r="L381" i="30"/>
  <c r="I427" i="30"/>
  <c r="L427" i="30"/>
  <c r="J427" i="30"/>
  <c r="K427" i="30"/>
  <c r="L319" i="30"/>
  <c r="J319" i="30"/>
  <c r="K319" i="30"/>
  <c r="I319" i="30"/>
  <c r="K114" i="30"/>
  <c r="L114" i="30"/>
  <c r="J114" i="30"/>
  <c r="I114" i="30"/>
  <c r="L295" i="30"/>
  <c r="K295" i="30"/>
  <c r="I295" i="30"/>
  <c r="J295" i="30"/>
  <c r="I187" i="30"/>
  <c r="J187" i="30"/>
  <c r="K187" i="30"/>
  <c r="L187" i="30"/>
  <c r="J105" i="30"/>
  <c r="L105" i="30"/>
  <c r="K105" i="30"/>
  <c r="I105" i="30"/>
  <c r="K347" i="30"/>
  <c r="J347" i="30"/>
  <c r="L347" i="30"/>
  <c r="I347" i="30"/>
  <c r="L404" i="30"/>
  <c r="I404" i="30"/>
  <c r="K404" i="30"/>
  <c r="J404" i="30"/>
  <c r="J373" i="30"/>
  <c r="I373" i="30"/>
  <c r="K373" i="30"/>
  <c r="L373" i="30"/>
  <c r="I33" i="30"/>
  <c r="L33" i="30"/>
  <c r="J33" i="30"/>
  <c r="K33" i="30"/>
  <c r="K297" i="30"/>
  <c r="I297" i="30"/>
  <c r="L297" i="30"/>
  <c r="J297" i="30"/>
  <c r="L95" i="30"/>
  <c r="J95" i="30"/>
  <c r="K95" i="30"/>
  <c r="I95" i="30"/>
  <c r="I331" i="30"/>
  <c r="K331" i="30"/>
  <c r="L331" i="30"/>
  <c r="J331" i="30"/>
  <c r="K361" i="30"/>
  <c r="I361" i="30"/>
  <c r="J361" i="30"/>
  <c r="L361" i="30"/>
  <c r="J19" i="30"/>
  <c r="I19" i="30"/>
  <c r="L19" i="30"/>
  <c r="K19" i="30"/>
  <c r="I169" i="30"/>
  <c r="K169" i="30"/>
  <c r="L169" i="30"/>
  <c r="J169" i="30"/>
  <c r="L51" i="30"/>
  <c r="J51" i="30"/>
  <c r="K51" i="30"/>
  <c r="I51" i="30"/>
  <c r="J210" i="30"/>
  <c r="K210" i="30"/>
  <c r="I210" i="30"/>
  <c r="L210" i="30"/>
  <c r="L70" i="30"/>
  <c r="J70" i="30"/>
  <c r="K70" i="30"/>
  <c r="I70" i="30"/>
  <c r="J140" i="30"/>
  <c r="L140" i="30"/>
  <c r="K140" i="30"/>
  <c r="I140" i="30"/>
  <c r="I264" i="30"/>
  <c r="L264" i="30"/>
  <c r="J264" i="30"/>
  <c r="K264" i="30"/>
  <c r="K88" i="30"/>
  <c r="I88" i="30"/>
  <c r="J88" i="30"/>
  <c r="L88" i="30"/>
  <c r="J223" i="30"/>
  <c r="K223" i="30"/>
  <c r="L223" i="30"/>
  <c r="I223" i="30"/>
  <c r="J53" i="30"/>
  <c r="L53" i="30"/>
  <c r="K53" i="30"/>
  <c r="I53" i="30"/>
  <c r="K230" i="30"/>
  <c r="I230" i="30"/>
  <c r="L230" i="30"/>
  <c r="J230" i="30"/>
  <c r="L330" i="30"/>
  <c r="J330" i="30"/>
  <c r="I330" i="30"/>
  <c r="K330" i="30"/>
  <c r="J293" i="30"/>
  <c r="I293" i="30"/>
  <c r="K293" i="30"/>
  <c r="L293" i="30"/>
  <c r="K121" i="30"/>
  <c r="L121" i="30"/>
  <c r="J121" i="30"/>
  <c r="I121" i="30"/>
  <c r="I225" i="30"/>
  <c r="L225" i="30"/>
  <c r="J225" i="30"/>
  <c r="K225" i="30"/>
  <c r="J364" i="30"/>
  <c r="L364" i="30"/>
  <c r="I364" i="30"/>
  <c r="K364" i="30"/>
  <c r="K324" i="30"/>
  <c r="L324" i="30"/>
  <c r="I324" i="30"/>
  <c r="J324" i="30"/>
  <c r="K106" i="30"/>
  <c r="J106" i="30"/>
  <c r="I106" i="30"/>
  <c r="L106" i="30"/>
  <c r="J288" i="30"/>
  <c r="L288" i="30"/>
  <c r="I288" i="30"/>
  <c r="K288" i="30"/>
  <c r="L89" i="30"/>
  <c r="I89" i="30"/>
  <c r="K89" i="30"/>
  <c r="J89" i="30"/>
  <c r="J173" i="30"/>
  <c r="K173" i="30"/>
  <c r="I173" i="30"/>
  <c r="L173" i="30"/>
  <c r="L287" i="30"/>
  <c r="K287" i="30"/>
  <c r="I287" i="30"/>
  <c r="J287" i="30"/>
  <c r="J211" i="30"/>
  <c r="K211" i="30"/>
  <c r="L211" i="30"/>
  <c r="I211" i="30"/>
  <c r="I31" i="30"/>
  <c r="J31" i="30"/>
  <c r="L31" i="30"/>
  <c r="K31" i="30"/>
  <c r="I254" i="30"/>
  <c r="L254" i="30"/>
  <c r="K254" i="30"/>
  <c r="J254" i="30"/>
  <c r="J285" i="30"/>
  <c r="I285" i="30"/>
  <c r="L285" i="30"/>
  <c r="K285" i="30"/>
  <c r="I400" i="30"/>
  <c r="K400" i="30"/>
  <c r="L400" i="30"/>
  <c r="J400" i="30"/>
  <c r="K190" i="30"/>
  <c r="I190" i="30"/>
  <c r="L190" i="30"/>
  <c r="J190" i="30"/>
  <c r="I183" i="30"/>
  <c r="K183" i="30"/>
  <c r="L183" i="30"/>
  <c r="J183" i="30"/>
  <c r="L370" i="30"/>
  <c r="I370" i="30"/>
  <c r="J370" i="30"/>
  <c r="K370" i="30"/>
  <c r="L149" i="30"/>
  <c r="K149" i="30"/>
  <c r="I149" i="30"/>
  <c r="J149" i="30"/>
  <c r="I103" i="30"/>
  <c r="L103" i="30"/>
  <c r="K103" i="30"/>
  <c r="J103" i="30"/>
  <c r="L243" i="30"/>
  <c r="K243" i="30"/>
  <c r="J243" i="30"/>
  <c r="I243" i="30"/>
  <c r="L37" i="30"/>
  <c r="I37" i="30"/>
  <c r="K37" i="30"/>
  <c r="J37" i="30"/>
  <c r="L306" i="30"/>
  <c r="J306" i="30"/>
  <c r="I306" i="30"/>
  <c r="K306" i="30"/>
  <c r="K191" i="30"/>
  <c r="L191" i="30"/>
  <c r="I191" i="30"/>
  <c r="J191" i="30"/>
  <c r="I414" i="30"/>
  <c r="K414" i="30"/>
  <c r="L414" i="30"/>
  <c r="J414" i="30"/>
  <c r="J328" i="30"/>
  <c r="K328" i="30"/>
  <c r="I328" i="30"/>
  <c r="L328" i="30"/>
  <c r="K39" i="30"/>
  <c r="I39" i="30"/>
  <c r="L39" i="30"/>
  <c r="J39" i="30"/>
  <c r="K8" i="30"/>
  <c r="L8" i="30"/>
  <c r="J8" i="30"/>
  <c r="I8" i="30"/>
  <c r="K11" i="30"/>
  <c r="J11" i="30"/>
  <c r="I11" i="30"/>
  <c r="L11" i="30"/>
  <c r="J304" i="30"/>
  <c r="K304" i="30"/>
  <c r="I304" i="30"/>
  <c r="L304" i="30"/>
  <c r="L202" i="30"/>
  <c r="K202" i="30"/>
  <c r="I202" i="30"/>
  <c r="J202" i="30"/>
  <c r="L161" i="30"/>
  <c r="K161" i="30"/>
  <c r="J161" i="30"/>
  <c r="I161" i="30"/>
  <c r="I321" i="30"/>
  <c r="J321" i="30"/>
  <c r="L321" i="30"/>
  <c r="K321" i="30"/>
  <c r="J305" i="30"/>
  <c r="K305" i="30"/>
  <c r="I305" i="30"/>
  <c r="L305" i="30"/>
  <c r="L426" i="30"/>
  <c r="J426" i="30"/>
  <c r="I426" i="30"/>
  <c r="K426" i="30"/>
  <c r="J150" i="30"/>
  <c r="L150" i="30"/>
  <c r="I150" i="30"/>
  <c r="K150" i="30"/>
  <c r="K359" i="30"/>
  <c r="J359" i="30"/>
  <c r="L359" i="30"/>
  <c r="I359" i="30"/>
  <c r="K416" i="30"/>
  <c r="L416" i="30"/>
  <c r="I416" i="30"/>
  <c r="J416" i="30"/>
  <c r="I369" i="30"/>
  <c r="K369" i="30"/>
  <c r="L369" i="30"/>
  <c r="J369" i="30"/>
  <c r="J241" i="30"/>
  <c r="K241" i="30"/>
  <c r="L241" i="30"/>
  <c r="I241" i="30"/>
  <c r="L124" i="30"/>
  <c r="K124" i="30"/>
  <c r="J124" i="30"/>
  <c r="I124" i="30"/>
  <c r="K311" i="30"/>
  <c r="J311" i="30"/>
  <c r="I311" i="30"/>
  <c r="L311" i="30"/>
  <c r="J307" i="30"/>
  <c r="L307" i="30"/>
  <c r="K307" i="30"/>
  <c r="I307" i="30"/>
  <c r="L94" i="30"/>
  <c r="K94" i="30"/>
  <c r="I94" i="30"/>
  <c r="J94" i="30"/>
  <c r="L320" i="30"/>
  <c r="I320" i="30"/>
  <c r="J320" i="30"/>
  <c r="K320" i="30"/>
  <c r="L417" i="30"/>
  <c r="I417" i="30"/>
  <c r="K417" i="30"/>
  <c r="J417" i="30"/>
  <c r="J117" i="30"/>
  <c r="K117" i="30"/>
  <c r="I117" i="30"/>
  <c r="L117" i="30"/>
  <c r="L261" i="30"/>
  <c r="K261" i="30"/>
  <c r="J261" i="30"/>
  <c r="I261" i="30"/>
  <c r="K395" i="30"/>
  <c r="L395" i="30"/>
  <c r="I395" i="30"/>
  <c r="J395" i="30"/>
  <c r="J98" i="30"/>
  <c r="L98" i="30"/>
  <c r="I98" i="30"/>
  <c r="K98" i="30"/>
  <c r="I229" i="30"/>
  <c r="L229" i="30"/>
  <c r="K229" i="30"/>
  <c r="J229" i="30"/>
  <c r="K267" i="30"/>
  <c r="L267" i="30"/>
  <c r="J267" i="30"/>
  <c r="I267" i="30"/>
  <c r="J184" i="30"/>
  <c r="K184" i="30"/>
  <c r="L184" i="30"/>
  <c r="I184" i="30"/>
  <c r="K90" i="30"/>
  <c r="I90" i="30"/>
  <c r="J90" i="30"/>
  <c r="L90" i="30"/>
  <c r="K59" i="30"/>
  <c r="I59" i="30"/>
  <c r="J59" i="30"/>
  <c r="L59" i="30"/>
  <c r="K129" i="30"/>
  <c r="L129" i="30"/>
  <c r="I129" i="30"/>
  <c r="J129" i="30"/>
  <c r="K272" i="30"/>
  <c r="L272" i="30"/>
  <c r="J272" i="30"/>
  <c r="I272" i="30"/>
  <c r="K266" i="30"/>
  <c r="L266" i="30"/>
  <c r="J266" i="30"/>
  <c r="I266" i="30"/>
  <c r="L409" i="30"/>
  <c r="I409" i="30"/>
  <c r="J409" i="30"/>
  <c r="K409" i="30"/>
  <c r="I255" i="30"/>
  <c r="K255" i="30"/>
  <c r="J255" i="30"/>
  <c r="L255" i="30"/>
  <c r="I363" i="30"/>
  <c r="J363" i="30"/>
  <c r="L363" i="30"/>
  <c r="K363" i="30"/>
  <c r="L29" i="30"/>
  <c r="J29" i="30"/>
  <c r="I29" i="30"/>
  <c r="K29" i="30"/>
  <c r="K208" i="30"/>
  <c r="L208" i="30"/>
  <c r="J208" i="30"/>
  <c r="I208" i="30"/>
  <c r="K422" i="30"/>
  <c r="I422" i="30"/>
  <c r="J422" i="30"/>
  <c r="L422" i="30"/>
  <c r="K46" i="30"/>
  <c r="I46" i="30"/>
  <c r="L46" i="30"/>
  <c r="J46" i="30"/>
  <c r="J341" i="30"/>
  <c r="I341" i="30"/>
  <c r="K341" i="30"/>
  <c r="L341" i="30"/>
  <c r="I343" i="30"/>
  <c r="J343" i="30"/>
  <c r="L343" i="30"/>
  <c r="K343" i="30"/>
  <c r="K144" i="30"/>
  <c r="L144" i="30"/>
  <c r="I144" i="30"/>
  <c r="J144" i="30"/>
  <c r="L32" i="30"/>
  <c r="I32" i="30"/>
  <c r="K32" i="30"/>
  <c r="J32" i="30"/>
  <c r="I174" i="30"/>
  <c r="L174" i="30"/>
  <c r="J174" i="30"/>
  <c r="K174" i="30"/>
  <c r="L351" i="30"/>
  <c r="K351" i="30"/>
  <c r="J351" i="30"/>
  <c r="I351" i="30"/>
  <c r="I123" i="30"/>
  <c r="K123" i="30"/>
  <c r="L123" i="30"/>
  <c r="J123" i="30"/>
  <c r="J355" i="30"/>
  <c r="K355" i="30"/>
  <c r="I355" i="30"/>
  <c r="L355" i="30"/>
  <c r="L133" i="30"/>
  <c r="I133" i="30"/>
  <c r="K133" i="30"/>
  <c r="J133" i="30"/>
  <c r="L141" i="30"/>
  <c r="I141" i="30"/>
  <c r="J141" i="30"/>
  <c r="K141" i="30"/>
  <c r="J425" i="30"/>
  <c r="K425" i="30"/>
  <c r="I425" i="30"/>
  <c r="L425" i="30"/>
  <c r="J175" i="30"/>
  <c r="L175" i="30"/>
  <c r="K175" i="30"/>
  <c r="I175" i="30"/>
  <c r="L248" i="30"/>
  <c r="K248" i="30"/>
  <c r="I248" i="30"/>
  <c r="J248" i="30"/>
  <c r="I318" i="30"/>
  <c r="L318" i="30"/>
  <c r="K318" i="30"/>
  <c r="J318" i="30"/>
  <c r="L49" i="30"/>
  <c r="I49" i="30"/>
  <c r="J49" i="30"/>
  <c r="K49" i="30"/>
  <c r="J109" i="30"/>
  <c r="K109" i="30"/>
  <c r="I109" i="30"/>
  <c r="L109" i="30"/>
  <c r="I282" i="30"/>
  <c r="K282" i="30"/>
  <c r="L282" i="30"/>
  <c r="J282" i="30"/>
  <c r="K218" i="30"/>
  <c r="J218" i="30"/>
  <c r="L218" i="30"/>
  <c r="I218" i="30"/>
  <c r="I332" i="30"/>
  <c r="K332" i="30"/>
  <c r="J332" i="30"/>
  <c r="L332" i="30"/>
  <c r="L136" i="30"/>
  <c r="K136" i="30"/>
  <c r="I136" i="30"/>
  <c r="J136" i="30"/>
  <c r="J115" i="30"/>
  <c r="I115" i="30"/>
  <c r="L115" i="30"/>
  <c r="K115" i="30"/>
  <c r="L283" i="30"/>
  <c r="J283" i="30"/>
  <c r="I283" i="30"/>
  <c r="K283" i="30"/>
  <c r="I178" i="30"/>
  <c r="L178" i="30"/>
  <c r="J178" i="30"/>
  <c r="K178" i="30"/>
  <c r="I215" i="30"/>
  <c r="K215" i="30"/>
  <c r="J215" i="30"/>
  <c r="L215" i="30"/>
  <c r="K182" i="30"/>
  <c r="I182" i="30"/>
  <c r="L182" i="30"/>
  <c r="J182" i="30"/>
  <c r="K60" i="30"/>
  <c r="J60" i="30"/>
  <c r="I60" i="30"/>
  <c r="L60" i="30"/>
  <c r="K340" i="30"/>
  <c r="J340" i="30"/>
  <c r="L340" i="30"/>
  <c r="I340" i="30"/>
  <c r="K209" i="30"/>
  <c r="J209" i="30"/>
  <c r="I209" i="30"/>
  <c r="L209" i="30"/>
  <c r="J67" i="30"/>
  <c r="K67" i="30"/>
  <c r="I67" i="30"/>
  <c r="L67" i="30"/>
  <c r="K353" i="30"/>
  <c r="L353" i="30"/>
  <c r="I353" i="30"/>
  <c r="J353" i="30"/>
  <c r="J158" i="30"/>
  <c r="K158" i="30"/>
  <c r="I158" i="30"/>
  <c r="L158" i="30"/>
  <c r="J97" i="30"/>
  <c r="K97" i="30"/>
  <c r="I97" i="30"/>
  <c r="L97" i="30"/>
  <c r="K251" i="30"/>
  <c r="J251" i="30"/>
  <c r="L251" i="30"/>
  <c r="I251" i="30"/>
  <c r="J406" i="30"/>
  <c r="K406" i="30"/>
  <c r="I406" i="30"/>
  <c r="L406" i="30"/>
  <c r="L139" i="30"/>
  <c r="I139" i="30"/>
  <c r="J139" i="30"/>
  <c r="K139" i="30"/>
</calcChain>
</file>

<file path=xl/sharedStrings.xml><?xml version="1.0" encoding="utf-8"?>
<sst xmlns="http://schemas.openxmlformats.org/spreadsheetml/2006/main" count="2590" uniqueCount="565">
  <si>
    <t xml:space="preserve">Total: </t>
  </si>
  <si>
    <t>Total</t>
  </si>
  <si>
    <t>Aufwand</t>
  </si>
  <si>
    <t>X</t>
  </si>
  <si>
    <t xml:space="preserve">X </t>
  </si>
  <si>
    <t>CHF</t>
  </si>
  <si>
    <t>Wirtschaftliche Hilfe</t>
  </si>
  <si>
    <t>Anzahl Dossiers</t>
  </si>
  <si>
    <t>Anzahl Personen</t>
  </si>
  <si>
    <t>Wirtschaftliche Hilfe (Dossierbezogen)</t>
  </si>
  <si>
    <t>Kinderalimente</t>
  </si>
  <si>
    <t>Obdach/Wohnen</t>
  </si>
  <si>
    <t xml:space="preserve">Total </t>
  </si>
  <si>
    <t>2b</t>
  </si>
  <si>
    <t>2d</t>
  </si>
  <si>
    <t>x</t>
  </si>
  <si>
    <t>579x</t>
  </si>
  <si>
    <t>Total Anzahl Fälle</t>
  </si>
  <si>
    <t>3a</t>
  </si>
  <si>
    <t>Anzahl Fälle ohne Inkassodossiers</t>
  </si>
  <si>
    <t>Total Sozialdienstpersonal</t>
  </si>
  <si>
    <t>Offene Kinder- und Jugendarbeit</t>
  </si>
  <si>
    <t>2e</t>
  </si>
  <si>
    <t>Notfallkosten</t>
  </si>
  <si>
    <t>Nr. Abrechnungsstelle</t>
  </si>
  <si>
    <t>Nr. Gemeinde</t>
  </si>
  <si>
    <t>Titel Produkt</t>
  </si>
  <si>
    <t>Titel Wertelement</t>
  </si>
  <si>
    <t>Ref Produkt</t>
  </si>
  <si>
    <t>Ref Wertelement</t>
  </si>
  <si>
    <t>Wert</t>
  </si>
  <si>
    <t>Aufwand/Ertrag</t>
  </si>
  <si>
    <t>Titel Produkt Summe</t>
  </si>
  <si>
    <t>Titel Wertelement Summe</t>
  </si>
  <si>
    <t>Ref Produkt Summe</t>
  </si>
  <si>
    <t>Ref Wertelement Summe</t>
  </si>
  <si>
    <t>Anker</t>
  </si>
  <si>
    <t>915001001.11;INITKOLA=DSHR;</t>
  </si>
  <si>
    <t>2000</t>
  </si>
  <si>
    <t>Blatt 2b</t>
  </si>
  <si>
    <t>Blatt 3a</t>
  </si>
  <si>
    <t>2001</t>
  </si>
  <si>
    <t>1000</t>
  </si>
  <si>
    <t>Erträge mit Inkassoprivileg</t>
  </si>
  <si>
    <t>1002</t>
  </si>
  <si>
    <t>Übrige Erträge ohne Inkassoprivileg</t>
  </si>
  <si>
    <t>1004</t>
  </si>
  <si>
    <t>Heimatliche Vergütungen ohne Inkassoprivileg</t>
  </si>
  <si>
    <t>1003</t>
  </si>
  <si>
    <t>Rückerstattungen der Burgergemeinde mit Inkassoprivileg</t>
  </si>
  <si>
    <t>1006</t>
  </si>
  <si>
    <t>Prämienverbilligungen KVG ohne Inkassoprivileg</t>
  </si>
  <si>
    <t>Anzahl Kinder</t>
  </si>
  <si>
    <t>915001001.31</t>
  </si>
  <si>
    <t>2002</t>
  </si>
  <si>
    <t>Inkassokosten Kinderalimente</t>
  </si>
  <si>
    <t>915001001.32</t>
  </si>
  <si>
    <t>Spezielle Kosten wirtschaftliche Hilfe</t>
  </si>
  <si>
    <t>915001001.12</t>
  </si>
  <si>
    <t>915001001.13</t>
  </si>
  <si>
    <t>Tagi-Angebote</t>
  </si>
  <si>
    <t>916001001.13</t>
  </si>
  <si>
    <t>916001003.11</t>
  </si>
  <si>
    <t>916002007.11</t>
  </si>
  <si>
    <t>Statistische Werte</t>
  </si>
  <si>
    <t>Nettoaufwand RtKb</t>
  </si>
  <si>
    <t>915001001.48</t>
  </si>
  <si>
    <t>shr_04_RtKb</t>
  </si>
  <si>
    <t>Effektiv ausgerichtete Besoldungsaufwendungen</t>
  </si>
  <si>
    <t>bk_effektiveAufwendungen</t>
  </si>
  <si>
    <t>Effektiv ausgerichtete Weiterbildungskosten</t>
  </si>
  <si>
    <t>bk_effektiveWeiterbildungskosten</t>
  </si>
  <si>
    <t>PraktikantInnen</t>
  </si>
  <si>
    <t>PraktikantInnen in CHF</t>
  </si>
  <si>
    <t>915001001.46</t>
  </si>
  <si>
    <t>bk_fallpauschale</t>
  </si>
  <si>
    <t>bk_totalAufwandSozialdienstpersonal</t>
  </si>
  <si>
    <t>Anzahl Fälle wirtschaftliche Hilfe (WH)</t>
  </si>
  <si>
    <t>915001001.41</t>
  </si>
  <si>
    <t>bk_wh_anzahlFaelleTotal</t>
  </si>
  <si>
    <t>Anzahl Inkassodossiers</t>
  </si>
  <si>
    <t>bk_wh_anzahlInkassodossiers</t>
  </si>
  <si>
    <t>bk_anzahlFaelleOhneInkassodossiers</t>
  </si>
  <si>
    <t>Anzahl Fälle ohne Notfallkosten</t>
  </si>
  <si>
    <t>bk_anzahlFaelleNotfallkosten</t>
  </si>
  <si>
    <t>Anzahl Fälle WH ohne Inkassodossiers</t>
  </si>
  <si>
    <t>bk_anzahlFaelleMassgabe</t>
  </si>
  <si>
    <t>Pauschale Fälle WH in CHF</t>
  </si>
  <si>
    <t>bk_pauschaleProFall</t>
  </si>
  <si>
    <t>Fallpauschale WH ohne Inkassodossiers in CHF</t>
  </si>
  <si>
    <t>Präventive Beratung</t>
  </si>
  <si>
    <t>Anzahl Fälle präventive Beratung</t>
  </si>
  <si>
    <t>915001001.43</t>
  </si>
  <si>
    <t>bk_pb_anzahlFaelle</t>
  </si>
  <si>
    <t>Maximal zulässig = 25% (ohne Inkassodossiers) WH</t>
  </si>
  <si>
    <t>bk_pb_anzahlFaelleMax</t>
  </si>
  <si>
    <t>Massgebende Anzahl Fälle präventive Beratung</t>
  </si>
  <si>
    <t>Pauschale Fälle präventive Beratung in CHF</t>
  </si>
  <si>
    <t>Fallpauschale präventive Beratung in CHF</t>
  </si>
  <si>
    <t>Inkasso von Unterhaltsbeiträgen</t>
  </si>
  <si>
    <t>Anzahl Fälle Reine Inkassodossiers Kindesunterhalt</t>
  </si>
  <si>
    <t>915001001.42</t>
  </si>
  <si>
    <t>bk_ub_anzahlFaelleKindesunterhalt</t>
  </si>
  <si>
    <t>Anzahl Fälle Nachehelicher Unterhalt</t>
  </si>
  <si>
    <t>bk_ub_anzahlFaelleNachehelicherUnterhalt</t>
  </si>
  <si>
    <t>Anzahl Fälle Inkassodossiers aktiv</t>
  </si>
  <si>
    <t>bk_ub_anzahlFaelleInkassodossiersAktiv</t>
  </si>
  <si>
    <t>Anzahl Fälle Inkassodossiers abgeschlossen</t>
  </si>
  <si>
    <t>bk_ub_anzahlFaelleInkassodossiersAbgeschlossen</t>
  </si>
  <si>
    <t>Anzahl Fälle Reine Verlustscheinverwaltungsdossiers</t>
  </si>
  <si>
    <t>bk_ub_anzahlFaelleVerlustschein</t>
  </si>
  <si>
    <t>Total Anzahl Fälle Inkasso von Unterhaltsbeiträgen</t>
  </si>
  <si>
    <t>Pauschale Fälle Inkasso von Unterhaltsbeiträgen in CHF</t>
  </si>
  <si>
    <t>Fallpauschale Inkasso von Unterhaltsbeiträgen in CHF</t>
  </si>
  <si>
    <t>Bevorschussung von Unterhaltsbeiträgen</t>
  </si>
  <si>
    <t>Anzahl Fälle Bevorschussung Kindesunterhalt</t>
  </si>
  <si>
    <t>915001001.44</t>
  </si>
  <si>
    <t>bk_bu_anzahlFaelle</t>
  </si>
  <si>
    <t>Anzahl Fälle Rückerstattung</t>
  </si>
  <si>
    <t>bk_bu_anzahlFaelleRueckerstattung</t>
  </si>
  <si>
    <t>Pauschale Fälle Bevorschussung Kindesunterhalt in CHF</t>
  </si>
  <si>
    <t>Fallpauschale Bevorschussung Kindesunterhalt in CHF</t>
  </si>
  <si>
    <t>Total Anzahl Fälle Pauschalabgeltung</t>
  </si>
  <si>
    <t>915001001.45</t>
  </si>
  <si>
    <t>Total Fallpauschalen WH inkl. Präventive Beratung in CHF</t>
  </si>
  <si>
    <t>bk_whpb_fallpauschale</t>
  </si>
  <si>
    <t>Total Fallpauschalen Unterhaltsbeiträge in CHF</t>
  </si>
  <si>
    <t>bk_ubbu_fallpauschale</t>
  </si>
  <si>
    <t>Total Fallpauschalen WH und Unterhaltsbeiträge in CHF</t>
  </si>
  <si>
    <t>bk_whpbubbu_fallpauschale</t>
  </si>
  <si>
    <t>Total Fallpauschalen WH und Unterhaltsbeiträge (inkl. PraktikantInnen in CHF</t>
  </si>
  <si>
    <t>bk_whpbubbu_praktikanten</t>
  </si>
  <si>
    <t>Freiwillige zweckbestimmte Zuwendungen Dritter</t>
  </si>
  <si>
    <t>Mitgliederbeiträge</t>
  </si>
  <si>
    <t>Summe von Wert</t>
  </si>
  <si>
    <t>1005</t>
  </si>
  <si>
    <t>Kosten für vertrauensärztliche Untersuchungen</t>
  </si>
  <si>
    <t>5790 / 5796</t>
  </si>
  <si>
    <t>(Les chiffres inscrits dans les annexes sont reportés automatiquement dans la récapitulation)</t>
  </si>
  <si>
    <t>Exercice:</t>
  </si>
  <si>
    <t>N° OFS de la commune:</t>
  </si>
  <si>
    <t>Commune:</t>
  </si>
  <si>
    <t xml:space="preserve">Personne de référence (nom, téléphone, courriel): </t>
  </si>
  <si>
    <t>Annexe 1</t>
  </si>
  <si>
    <t>Lieu, date et signature de la commune (par sa signature, l'autorité compétente confirme l'exactitude des données fournies):</t>
  </si>
  <si>
    <t>Annexe</t>
  </si>
  <si>
    <t>Rubrique</t>
  </si>
  <si>
    <t>Nombre de dossiers</t>
  </si>
  <si>
    <t>Nombre de personnes</t>
  </si>
  <si>
    <t>Charges brutes
CHF</t>
  </si>
  <si>
    <t>Revenus 
CHF</t>
  </si>
  <si>
    <t>Recettes et remboursements avec provision d'encaissement 
CHF</t>
  </si>
  <si>
    <t>Autres revenus
(sans provision d'encaissement)
CHF</t>
  </si>
  <si>
    <t>Remboursements au sens de la LAS (sans provision d'encaissement)
CHF</t>
  </si>
  <si>
    <t>Restitutions de la commune bour-geoise (avec provision d’encaissement) 
CHF</t>
  </si>
  <si>
    <t>Statistique des revenus</t>
  </si>
  <si>
    <t>Aide matérielle</t>
  </si>
  <si>
    <t>Aide matérielle (dossiers individuels)</t>
  </si>
  <si>
    <t>Coûts particuliers</t>
  </si>
  <si>
    <t>Aide immédiate (soins médicaux d'urgence)</t>
  </si>
  <si>
    <t>Total de l'aide matérielle</t>
  </si>
  <si>
    <t xml:space="preserve">Contributions d’entretien 
pour enfants </t>
  </si>
  <si>
    <t>Avances et remboursements</t>
  </si>
  <si>
    <t>Frais de recouvrement</t>
  </si>
  <si>
    <t>Total des pensions alimentaires</t>
  </si>
  <si>
    <t>Avances</t>
  </si>
  <si>
    <t>Rembours.</t>
  </si>
  <si>
    <t>Frais de traitement du personnel du service social (forfaits par cas)</t>
  </si>
  <si>
    <t>Animation de jeunesse</t>
  </si>
  <si>
    <t>Hébergement des sans-abri</t>
  </si>
  <si>
    <t>Total des charges et des revenus</t>
  </si>
  <si>
    <t>Excédent de charges</t>
  </si>
  <si>
    <t>Excédent de revenus</t>
  </si>
  <si>
    <t xml:space="preserve">Nom et adresse du service social ou de l'autorité compétente de la commune: </t>
  </si>
  <si>
    <t>Annexe 2</t>
  </si>
  <si>
    <t xml:space="preserve">Partie A) Décompte </t>
  </si>
  <si>
    <t xml:space="preserve">Aux fins du décompte, il convient de nous remettre la liste des bénéficiaires (annexe 2a), la synthèse par commune (annexe 2b), </t>
  </si>
  <si>
    <t xml:space="preserve">le relevé des coûts particuliers (annexe 2d) et celui des frais d'aide immédiate à des personnes non domiciliées en Suisse </t>
  </si>
  <si>
    <t>(annexe 2e).</t>
  </si>
  <si>
    <t>Partie B) Questions de contrôle (cocher la case correspondante =&gt; si non, justifier sous Remarques)</t>
  </si>
  <si>
    <t xml:space="preserve">La liste des bénéficiaires (annexe 2a) et la synthèse par commune (annexe 2b) ont-elles été intégralement complétées? (art. 44, al. 1 de l'ordonnance sur l'aide sociale, OASoc)  </t>
  </si>
  <si>
    <t>L'aide matérielle a-t-elle été calculée et versée conformément aux principes établis en la matière? (art. 31 de la loi sur l'aide sociale, LASoc, art. 8 ss OASoc)</t>
  </si>
  <si>
    <r>
      <t xml:space="preserve">Les dépenses au titre de l'aide matérielle ne doivent </t>
    </r>
    <r>
      <rPr>
        <b/>
        <sz val="10"/>
        <rFont val="Arial"/>
        <family val="2"/>
      </rPr>
      <t>pas</t>
    </r>
    <r>
      <rPr>
        <sz val="10"/>
        <rFont val="Arial"/>
        <family val="2"/>
      </rPr>
      <t xml:space="preserve"> inclure les amendes (fiche "Amendes" du Manuel de l'aide sociale de A à Z). Cette disposition est-elle respectée?</t>
    </r>
  </si>
  <si>
    <r>
      <t xml:space="preserve">Les dépenses au titre de l'aide matérielle ne doivent </t>
    </r>
    <r>
      <rPr>
        <b/>
        <sz val="10"/>
        <rFont val="Arial"/>
        <family val="2"/>
      </rPr>
      <t>pas</t>
    </r>
    <r>
      <rPr>
        <sz val="10"/>
        <rFont val="Arial"/>
        <family val="2"/>
      </rPr>
      <t xml:space="preserve"> inclure les frais d'enterrement 
(art. 33a OASoc). Cette disposition est-elle respectée?</t>
    </r>
  </si>
  <si>
    <r>
      <t xml:space="preserve">La part de la prime d’assurance-maladie obligatoire dépassant le montant maximal imputable ne doit </t>
    </r>
    <r>
      <rPr>
        <b/>
        <sz val="10"/>
        <rFont val="Arial"/>
        <family val="2"/>
      </rPr>
      <t>pas</t>
    </r>
    <r>
      <rPr>
        <sz val="10"/>
        <rFont val="Arial"/>
        <family val="2"/>
      </rPr>
      <t xml:space="preserve"> être incluse en tant que dépense à prendre en compte dans le calcul de l'aide matérielle (art. 8h, al. 2 OASoc). Cette disposition est-elle respectée?</t>
    </r>
  </si>
  <si>
    <t>Les conditions d’octroi de garanties de participation aux frais de traitement résidentiel des dépendances hors canton sont-elles respectées? (ISCB 8/860.1/3.1)</t>
  </si>
  <si>
    <t xml:space="preserve">La colonne "Recettes et remboursements avec provision d'encaissement" ne comporte-t-elle que les recettes mentionnées ci-dessous en note, imputées à hauteur des deux tiers?
(art. 33, al. 3 OASoc)* </t>
  </si>
  <si>
    <t>Les charges nettes (charges brutes moins revenus), le nombre de dossiers (déduction faite des dossiers de recouvrement) et le nombre de bénéficiaires inscrits dans le décompte de l’aide sociale concordent-ils avec ceux figurant dans le décompte de l’aide matérielle par catégorie (système de gestion des cas)? Le décompte de l’aide sociale concorde-t-il avec la comptabilité financière (comptabilité communale)? (art. 80g LASoc)</t>
  </si>
  <si>
    <t>Des activités d'encaissement ont-elles été confiées à une agence de recouvrement externe en ce qui concerne le remboursement de prestations d'aide matérielle ou la gestion des contributions d'entretien?**</t>
  </si>
  <si>
    <t>Si oui, lesquelles?</t>
  </si>
  <si>
    <t>Quel est le système de gestion des cas utilisé (KLIB, KiSS, etc.)?</t>
  </si>
  <si>
    <t>Remarques</t>
  </si>
  <si>
    <t>Lieu, date et signature (par sa signature, la direction du service social ou l'autorité compétente de la commune confirme</t>
  </si>
  <si>
    <t>l'exactitude des données fournies):</t>
  </si>
  <si>
    <t xml:space="preserve">Lieu, date et signature de la commune (par sa signature, l'autorité compétente confirme qu'elle a dûment reporté les </t>
  </si>
  <si>
    <t>données du service social dans le décompte de l'aide sociale):</t>
  </si>
  <si>
    <t xml:space="preserve">* Recettes pour lesquelles une provision d'encaissement est prélevée, imputées aux deux tiers (art. 33, al. 3 OASoc)  </t>
  </si>
  <si>
    <t xml:space="preserve">   =&gt;  cf. annexe 2c </t>
  </si>
  <si>
    <t xml:space="preserve">- Versements de tiers en remboursement d'avances de prestations, si le service social en a obtenu le recouvrement par voie </t>
  </si>
  <si>
    <t xml:space="preserve">  légale (action en justice, voie de droit telle qu’opposition ou recours, mainlevée et étapes subséquentes, etc.)</t>
  </si>
  <si>
    <t xml:space="preserve">- Remboursements au sens de l'art. 26, al. 2 LASoc (interdiction de renvoi) et de l'art. 47, al. 2 LASoc (aide sociale bourgeoise) </t>
  </si>
  <si>
    <t xml:space="preserve">Conformément à l'art. 33, al. 2 OASoc, toutes les autres recettes seront entièrement déduites des prestations d'aide matérielle. </t>
  </si>
  <si>
    <t xml:space="preserve">** Agences de recouvrement </t>
  </si>
  <si>
    <t xml:space="preserve">Les honoraires d'agences externes sont financés par les montants récupérés. Une double rétribution n'est pas admise: </t>
  </si>
  <si>
    <t xml:space="preserve">la commune qui recourt à de tels services n'a pas droit à une provision d'encaissement (art. 33, al. 3 OASoc), ni à un forfait </t>
  </si>
  <si>
    <t xml:space="preserve">par cas (art. 34c OASoc). </t>
  </si>
  <si>
    <t>Aide matérielle: liste des bénéficiaires</t>
  </si>
  <si>
    <t>Annexe 2a</t>
  </si>
  <si>
    <t>Numéro de dossier
 (tiré du décompte de l'aide matérielle par catégorie)</t>
  </si>
  <si>
    <r>
      <t xml:space="preserve">Nombre de dossiers
</t>
    </r>
    <r>
      <rPr>
        <sz val="10"/>
        <color rgb="FFFF0000"/>
        <rFont val="Arial"/>
        <family val="2"/>
      </rPr>
      <t>(recouvre-ment inclus)</t>
    </r>
  </si>
  <si>
    <t>Nombre
de
personnes</t>
  </si>
  <si>
    <t>Charges</t>
  </si>
  <si>
    <t>Revenus</t>
  </si>
  <si>
    <t>Remboursements au sens de la LAS
(sans provision d'encaissement)
CHF</t>
  </si>
  <si>
    <t>Restitutions de la commune bourgeoise (avec provision d’encaissement) 
CHF</t>
  </si>
  <si>
    <t>Ecriture collective</t>
  </si>
  <si>
    <t>Aide matérielle: synthèse par commune</t>
  </si>
  <si>
    <t>(Les chiffres doivent concorder avec ceux de l'annexe 2a)</t>
  </si>
  <si>
    <t xml:space="preserve">Sont à relever ici les données de toutes les communes (commune-siège et communes affiliées) qui enregistrent des charges et des revenus </t>
  </si>
  <si>
    <t>dans le domaine de l’aide matérielle.</t>
  </si>
  <si>
    <t>Annexe 2b</t>
  </si>
  <si>
    <t>N° OFS de la commune-siège:</t>
  </si>
  <si>
    <t>Commune-siège:</t>
  </si>
  <si>
    <t>N° OFS</t>
  </si>
  <si>
    <t>Commune</t>
  </si>
  <si>
    <r>
      <t xml:space="preserve">Nombre 
de 
dossiers
</t>
    </r>
    <r>
      <rPr>
        <b/>
        <sz val="10"/>
        <color rgb="FFFF0000"/>
        <rFont val="Arial"/>
        <family val="2"/>
      </rPr>
      <t>(recouvre-ment inclus)</t>
    </r>
  </si>
  <si>
    <t>Nombre 
de per-
sonnes</t>
  </si>
  <si>
    <t>Charges brutes
CHF</t>
  </si>
  <si>
    <t>Revenus avec
provision
d'encaissement
CHF</t>
  </si>
  <si>
    <t>Autres revenus
(sans provision d'encaissement)
CHF</t>
  </si>
  <si>
    <t>Remboursements au sens de la LAS
(sans provision d'encaissement)
CHF</t>
  </si>
  <si>
    <t>Restitutions
des communes
bourgeoises (avec provision d'encaissement)
CHF</t>
  </si>
  <si>
    <t>Réductions de primes versées par l'Office des assurances sociales (sans provision d'encaissement / écriture collective); comptabilisation selon l'ISCB 8/860.111/2.5
CHF</t>
  </si>
  <si>
    <t>Aide matérielle: types de revenus et de remboursements</t>
  </si>
  <si>
    <t>Annexe 2c</t>
  </si>
  <si>
    <t xml:space="preserve">En vertu de l'article 44a, alinéa 1 de la loi sur l'aide sociale (LASoc), une provision d'encaissement est allouée lorsque </t>
  </si>
  <si>
    <t>la commune/le service social a procédé à un acte de recouvrement.</t>
  </si>
  <si>
    <r>
      <t xml:space="preserve">Type de revenu ou de remboursement
</t>
    </r>
    <r>
      <rPr>
        <sz val="8"/>
        <rFont val="Arial"/>
        <family val="2"/>
      </rPr>
      <t>(</t>
    </r>
    <r>
      <rPr>
        <i/>
        <sz val="8"/>
        <rFont val="Arial"/>
        <family val="2"/>
      </rPr>
      <t>liste non exhaustive)</t>
    </r>
  </si>
  <si>
    <t>Base légale</t>
  </si>
  <si>
    <r>
      <t xml:space="preserve">Prestation / Situation
</t>
    </r>
    <r>
      <rPr>
        <i/>
        <sz val="8"/>
        <rFont val="Arial"/>
        <family val="2"/>
      </rPr>
      <t>(par ordre alphabétique)</t>
    </r>
  </si>
  <si>
    <t>Catégorie</t>
  </si>
  <si>
    <t>Recettes et remboursements avec provision d’encaissement</t>
  </si>
  <si>
    <t>Autres revenus (sans provision d’encaissement)</t>
  </si>
  <si>
    <t>Remboursements au sens de la LAS (sans provision d’encaissement)</t>
  </si>
  <si>
    <t>Restitutions de la commune bourgeoise (avec provision d’encaissement)</t>
  </si>
  <si>
    <t>Réductions de primes versées par l'Office des assurances sociales (sans provision d'encaissement)</t>
  </si>
  <si>
    <t>Abus d’aide sociale</t>
  </si>
  <si>
    <t>Art. 33, al. 3 OASoc</t>
  </si>
  <si>
    <t>Aide sociale bourgeoise</t>
  </si>
  <si>
    <t>Remboursement</t>
  </si>
  <si>
    <t xml:space="preserve">Allocations familiales </t>
  </si>
  <si>
    <r>
      <t xml:space="preserve">Contribution d’entretien ou dette alimentaire relevant du droit de la famille </t>
    </r>
    <r>
      <rPr>
        <b/>
        <vertAlign val="superscript"/>
        <sz val="10"/>
        <color indexed="9"/>
        <rFont val="Arial"/>
        <family val="2"/>
      </rPr>
      <t>sans</t>
    </r>
    <r>
      <rPr>
        <vertAlign val="superscript"/>
        <sz val="10"/>
        <color indexed="9"/>
        <rFont val="Arial"/>
        <family val="2"/>
      </rPr>
      <t xml:space="preserve"> recouvrement par voie légale</t>
    </r>
  </si>
  <si>
    <t>Art. 33, al. 2 OASoc</t>
  </si>
  <si>
    <t>Depuis le 1.1.2015 : cofinancement des frais de traitement du personnel gérant les contributions d'entretien en lieu et place de la provision d’encaissement</t>
  </si>
  <si>
    <t>Allocations familiales</t>
  </si>
  <si>
    <r>
      <rPr>
        <vertAlign val="superscript"/>
        <sz val="10"/>
        <color theme="1"/>
        <rFont val="Arial"/>
        <family val="2"/>
      </rPr>
      <t xml:space="preserve">Contribution d’entretien ou dette alimentaire relevant du droit de la famille </t>
    </r>
    <r>
      <rPr>
        <b/>
        <vertAlign val="superscript"/>
        <sz val="10"/>
        <color theme="1"/>
        <rFont val="Arial"/>
        <family val="2"/>
      </rPr>
      <t>avec</t>
    </r>
    <r>
      <rPr>
        <vertAlign val="superscript"/>
        <sz val="10"/>
        <color theme="1"/>
        <rFont val="Arial"/>
        <family val="2"/>
      </rPr>
      <t xml:space="preserve"> recouvrement par voie légale</t>
    </r>
  </si>
  <si>
    <t>Assurance-accidents (rente, indemnité journalière, etc.)</t>
  </si>
  <si>
    <r>
      <t xml:space="preserve">Remboursement d’avance de prestation </t>
    </r>
    <r>
      <rPr>
        <b/>
        <vertAlign val="superscript"/>
        <sz val="10"/>
        <color indexed="9"/>
        <rFont val="Arial"/>
        <family val="2"/>
      </rPr>
      <t>sans</t>
    </r>
    <r>
      <rPr>
        <vertAlign val="superscript"/>
        <sz val="10"/>
        <color indexed="9"/>
        <rFont val="Arial"/>
        <family val="2"/>
      </rPr>
      <t xml:space="preserve"> recouvrement par voie légale</t>
    </r>
  </si>
  <si>
    <r>
      <t xml:space="preserve">Remboursement d’avance de prestation </t>
    </r>
    <r>
      <rPr>
        <b/>
        <vertAlign val="superscript"/>
        <sz val="10"/>
        <rFont val="Arial"/>
        <family val="2"/>
      </rPr>
      <t>avec</t>
    </r>
    <r>
      <rPr>
        <vertAlign val="superscript"/>
        <sz val="10"/>
        <rFont val="Arial"/>
        <family val="2"/>
      </rPr>
      <t xml:space="preserve"> recouvrement par voie légale</t>
    </r>
  </si>
  <si>
    <t>Assurance-chômage (indemnité journalière, etc.)</t>
  </si>
  <si>
    <t>Assurance-invalidité (rente, indemnité journalière, etc.)</t>
  </si>
  <si>
    <t>Assurance-maladie (participation, indemnité journalière, etc.)</t>
  </si>
  <si>
    <t>AVS (rente, etc.)</t>
  </si>
  <si>
    <t>Bourse</t>
  </si>
  <si>
    <t>Cession de salaire</t>
  </si>
  <si>
    <t>Versement de tiers découlant de créances cédées</t>
  </si>
  <si>
    <t>Contribution de concubinage (reçue par la ou le bénéficiaire et déduite du budget d'aide matérielle)</t>
  </si>
  <si>
    <t>Dette alimentaire et obligation d'entretien</t>
  </si>
  <si>
    <t>Suppression de la provision d’encaissement le 1.1.2015</t>
  </si>
  <si>
    <t xml:space="preserve">Dette alimentaire et obligation d'entretien </t>
  </si>
  <si>
    <r>
      <t xml:space="preserve">Contribution d’entretien ou dette alimentaire relevant du droit de la famille </t>
    </r>
    <r>
      <rPr>
        <b/>
        <vertAlign val="superscript"/>
        <sz val="10"/>
        <rFont val="Arial"/>
        <family val="2"/>
      </rPr>
      <t>avec</t>
    </r>
    <r>
      <rPr>
        <vertAlign val="superscript"/>
        <sz val="10"/>
        <rFont val="Arial"/>
        <family val="2"/>
      </rPr>
      <t xml:space="preserve"> recouvrement par voie légale</t>
    </r>
  </si>
  <si>
    <t>Donation</t>
  </si>
  <si>
    <t>Faute grave</t>
  </si>
  <si>
    <t>Gains de loterie</t>
  </si>
  <si>
    <t>Héritage</t>
  </si>
  <si>
    <t>Indemnisation pour tenue du ménage</t>
  </si>
  <si>
    <t>Interdiction de renvoi</t>
  </si>
  <si>
    <t>Legs</t>
  </si>
  <si>
    <t>LPP (rente, capital)</t>
  </si>
  <si>
    <r>
      <t>Contribution d’entretien ou dette alimentair</t>
    </r>
    <r>
      <rPr>
        <vertAlign val="superscript"/>
        <sz val="10"/>
        <color theme="1"/>
        <rFont val="Arial"/>
        <family val="2"/>
      </rPr>
      <t xml:space="preserve">e relevant du droit de la famille </t>
    </r>
    <r>
      <rPr>
        <b/>
        <vertAlign val="superscript"/>
        <sz val="10"/>
        <color theme="1"/>
        <rFont val="Arial"/>
        <family val="2"/>
      </rPr>
      <t>avec</t>
    </r>
    <r>
      <rPr>
        <vertAlign val="superscript"/>
        <sz val="10"/>
        <color theme="1"/>
        <rFont val="Arial"/>
        <family val="2"/>
      </rPr>
      <t xml:space="preserve"> recouvrement par voie légale</t>
    </r>
  </si>
  <si>
    <r>
      <t xml:space="preserve">Pensions alimentaires pour enfants bénéficiaires de l’aide matérielle
</t>
    </r>
    <r>
      <rPr>
        <vertAlign val="superscript"/>
        <sz val="10"/>
        <color theme="0"/>
        <rFont val="Arial"/>
        <family val="2"/>
      </rPr>
      <t>N.B. Si l'enfant ne perçoit pas d'aide matérielle, la contribution est à inscrire au compte 5430 (cas LARCE)</t>
    </r>
  </si>
  <si>
    <r>
      <t xml:space="preserve">Pensions alimentaires pour enfants bénéficiaires de l’aide matérielle 
</t>
    </r>
    <r>
      <rPr>
        <vertAlign val="superscript"/>
        <sz val="10"/>
        <color theme="1"/>
        <rFont val="Arial"/>
        <family val="2"/>
      </rPr>
      <t>N.B. Si l'enfant ne perçoit pas d'aide matérielle, la contribution est à inscrire au compte 5430 (cas LARCE)</t>
    </r>
  </si>
  <si>
    <t>Réductions de primes versées par l'Office des assurances sociales</t>
  </si>
  <si>
    <t>Versement de tiers</t>
  </si>
  <si>
    <t>Remboursements au sens de la LAS</t>
  </si>
  <si>
    <t>Remboursement au sens de la LAS</t>
  </si>
  <si>
    <t>Salaire (économie privée)</t>
  </si>
  <si>
    <t>Succession</t>
  </si>
  <si>
    <t xml:space="preserve">AVS: assurance-vieillesse et survivants
LARCE: loi sur l'aide au recouvrement et les avances de contributions d'entretien 
LAS: loi fédérale sur la compétence en matière d'assistance des personnes dans le besoin (loi fédérale en matière d'assistance)
LPP: loi fédérale sur la prévoyance professionnelle vieillesse, survivants et invalidité
OASoc: ordonnance sur l’aide sociale </t>
  </si>
  <si>
    <t>Recouvrement par voie légale</t>
  </si>
  <si>
    <t>Action en justice, voie de droit telle qu’opposition ou recours, mainlevée et étapes subséquentes, etc.</t>
  </si>
  <si>
    <r>
      <t xml:space="preserve">Coûts particuliers de l’aide matérielle </t>
    </r>
    <r>
      <rPr>
        <b/>
        <u/>
        <sz val="12"/>
        <rFont val="Arial"/>
        <family val="2"/>
      </rPr>
      <t>non</t>
    </r>
    <r>
      <rPr>
        <b/>
        <sz val="12"/>
        <rFont val="Arial"/>
        <family val="2"/>
      </rPr>
      <t xml:space="preserve"> comptabilisés</t>
    </r>
  </si>
  <si>
    <t>Annexe 2d</t>
  </si>
  <si>
    <t>dans les dossiers individuels</t>
  </si>
  <si>
    <t>Contribution en CHF</t>
  </si>
  <si>
    <t>Indiquer si possible le numéro du dossier</t>
  </si>
  <si>
    <t>Ces frais doivent impérativement être inscrits dans la présente annexe.</t>
  </si>
  <si>
    <t>Ils ne peuvent pas être enregistrés dans le décompte de l'aide matérielle par catégorie.</t>
  </si>
  <si>
    <t>Cas pris en charge (initiales)</t>
  </si>
  <si>
    <t>Annexe 2e</t>
  </si>
  <si>
    <t>Avances et remboursements de contributions d'entretien pour enfants</t>
  </si>
  <si>
    <t xml:space="preserve">(pensions alimentaires) </t>
  </si>
  <si>
    <t>Annexe 3</t>
  </si>
  <si>
    <t>Aux fins du décompte, il convient de nous remettre la synthèse par commune (annexe 3a).</t>
  </si>
  <si>
    <t>Oui</t>
  </si>
  <si>
    <t>Non</t>
  </si>
  <si>
    <t>L'annexe 3a (synthèse par commune) a-t-elle été intégralement complétée? (art. 44, al. 1 de l'ordonnance sur l'aide sociale, OASoc)</t>
  </si>
  <si>
    <t>Le montant des avances correspond-il aux contributions d'entretien qui ont été fixées par voie judiciaire ou conventionnelle (renchérissement inclus) sans toutefois dépasser le montant maximal de la rente d'orphelin simple prévu par la loi fédérale sur l'assurance-vieillesse et survivants? (art. 6 de la loi sur l'aide au recouvrement et les avances de contributions d'entretien, LARCE, et art. 19 de l'ordonnance sur l'aide au recouvrement et les avances de contributions d'entretien, OARCE)</t>
  </si>
  <si>
    <t>La commune a-t-elle demandé le remboursement des avances de contributions au débiteur de la prestation? (art. 10 LARCE et art. 21 OARCE)</t>
  </si>
  <si>
    <t>Dans la mesure où il n'a pas été possible de les recouvrer auprès du débiteur poursuivi, la commune a-t-elle supporté uniquement les frais de poursuite et les frais judiciaires au titre des frais de recouvrement? (art. 11, al. 1 LARCE)</t>
  </si>
  <si>
    <t>Le titre d’entretien est-il valable et exécutoire?*</t>
  </si>
  <si>
    <t>Lieu, date et signature de la commune (par sa signature, l'autorité compétente confirme qu'elle a dûment reporté les</t>
  </si>
  <si>
    <t>* Un titre d’entretien est réputé valable et exécutoire, et peut donc faire l’objet d’une avance, aux conditions suivantes:</t>
  </si>
  <si>
    <t>- comporter une attestation d’entrée en force;</t>
  </si>
  <si>
    <t>- ne pas avoir été remplacé par un autre titre (p. ex. en cas de divorce après des mesures protectrices de l’union conjugale);</t>
  </si>
  <si>
    <t>- concerner un enfant mineur ou</t>
  </si>
  <si>
    <r>
      <t xml:space="preserve">  concerner un enfant majeur et en formation et prévoir </t>
    </r>
    <r>
      <rPr>
        <b/>
        <sz val="10"/>
        <rFont val="Arial"/>
        <family val="2"/>
      </rPr>
      <t>expressément</t>
    </r>
    <r>
      <rPr>
        <sz val="10"/>
        <rFont val="Arial"/>
        <family val="2"/>
      </rPr>
      <t xml:space="preserve"> une obligation d’entretien jusqu’à la fin ordinaire de la </t>
    </r>
  </si>
  <si>
    <t xml:space="preserve">  première formation;</t>
  </si>
  <si>
    <t>Contributions d'entretien pour enfants: synthèse par commune</t>
  </si>
  <si>
    <t xml:space="preserve">Sont à relever ici les données de toutes les communes (commune-siège et communes affiliées) qui enregistrent </t>
  </si>
  <si>
    <t>des charges et des revenus dans le domaine des pensions alimentaires.</t>
  </si>
  <si>
    <t>Annexe 3a</t>
  </si>
  <si>
    <t>Nombre d'enfants (avances)</t>
  </si>
  <si>
    <t>Nombre d'enfants (rembourse-ments)</t>
  </si>
  <si>
    <t>Avances
CHF</t>
  </si>
  <si>
    <t>Frais de recouvrement
CHF</t>
  </si>
  <si>
    <t>Remboursements
CHF</t>
  </si>
  <si>
    <t>Annexe 4</t>
  </si>
  <si>
    <r>
      <t xml:space="preserve">Nombre de cas, </t>
    </r>
    <r>
      <rPr>
        <sz val="10"/>
        <color rgb="FFFF0000"/>
        <rFont val="Arial"/>
        <family val="2"/>
      </rPr>
      <t>y compris dossiers de recouvrement (doit concorder avec le nombre de dossiers selon annexe 2b)</t>
    </r>
  </si>
  <si>
    <t>Nombre de dossiers de recouvrement*</t>
  </si>
  <si>
    <t>Nombre de cas sans les dossiers de recouvrement</t>
  </si>
  <si>
    <t>Nombre de cas d'aide immédiate à des personnes non domiciliées en Suisse (report de l'annexe 2e)</t>
  </si>
  <si>
    <t>Total des cas</t>
  </si>
  <si>
    <t>Forfait par cas</t>
  </si>
  <si>
    <t>Forfait (total des cas x forfait par cas)</t>
  </si>
  <si>
    <t>* Dossiers de recouvrement = dossiers (cas d'aide matérielle) dont le solde des charges est inférieur ou égal à 0 et le solde des revenus inférieur, supérieur ou égal à 0</t>
  </si>
  <si>
    <t>Cas de consultation préventive (art. 34e OASoc et ISCB 8/860.111/1.2)</t>
  </si>
  <si>
    <t>Nombre de cas imputables (au max. 25% des cas d'aide matérielle)</t>
  </si>
  <si>
    <t>Forfait (nombre de cas imputables x forfait par cas)</t>
  </si>
  <si>
    <t>Cas de recouvrement de contributions d'entretien (art. 34f OASoc et ISCB 8/860.111/1.2)</t>
  </si>
  <si>
    <t>Nombre de dossiers de recouvrement pour l’entretien après le divorce selon art. 1a LARCE</t>
  </si>
  <si>
    <r>
      <t xml:space="preserve">Nombre de dossiers de recouvrement </t>
    </r>
    <r>
      <rPr>
        <sz val="10"/>
        <color rgb="FFFF0000"/>
        <rFont val="Arial"/>
        <family val="2"/>
      </rPr>
      <t>clos</t>
    </r>
    <r>
      <rPr>
        <sz val="10"/>
        <rFont val="Arial"/>
        <family val="2"/>
      </rPr>
      <t xml:space="preserve"> (dossiers d’aide sociale clos) selon art. 37, al. 1 LASoc</t>
    </r>
  </si>
  <si>
    <t>Nombre de dossiers de simple gestion des actes de défaut de biens requérant au minimum trois heures de travail au cours de l'année civile</t>
  </si>
  <si>
    <t>Cas d'avance de contributions d'entretien (art. 34g OASoc et ISCB 8/860.111/1.2)</t>
  </si>
  <si>
    <t>Nombre de dossiers d’avance actifs concernant des contributions d’entretien pour enfants (avec ou sans recouvrement) selon art. 3 LARCE</t>
  </si>
  <si>
    <t>Synthèse</t>
  </si>
  <si>
    <t>+ forfait de consultation préventive</t>
  </si>
  <si>
    <t xml:space="preserve">+ forfait de recouvrement de contributions d'entretien </t>
  </si>
  <si>
    <t>+ forfait d'avance de contributions d'entretien</t>
  </si>
  <si>
    <t>= total des forfaits</t>
  </si>
  <si>
    <t>+ frais de traitement des stagiaires</t>
  </si>
  <si>
    <t>Pour faciliter le calcul, il convient de remplir les champs verts et jaunes ci-après.</t>
  </si>
  <si>
    <t>Correction 
(cf. supra)</t>
  </si>
  <si>
    <t>Le nombre de cas indiqués dans la partie A (décompte) a-t-il été calculé conformément aux directives? (art. 34d, 34e, 34f, 34g OASoc et ISCB 8/860.111/1.2)</t>
  </si>
  <si>
    <t>Le personnel spécialisé chargé de la gestion des cas a-t-il achevé la formation et le perfectionnement exigés à l'art. 3b OASoc? En particulier, les personnes au bénéfice d’une formation équivalente présentant un lien intrinsèque avec le travail social ont-elles comblé leurs lacunes théoriques et pratiques?</t>
  </si>
  <si>
    <t>Les forfaits arrêtés ont-ils été affectés comme prévu au financement des frais de traitement du personnel des services sociaux et l'aide sociale a-t-elle été exécutée conformément aux prescriptions? (art. 34c OASoc et ISCB 8/860.111/1.2)</t>
  </si>
  <si>
    <t xml:space="preserve">Lieu, date et signature de la commune (par sa signature, l'autorité compétente confirme qu'elle a dûment reporté les données </t>
  </si>
  <si>
    <t>du service social dans le décompte de l'aide sociale):</t>
  </si>
  <si>
    <t xml:space="preserve">Personne de référence de la commune (nom, téléphone, courriel): </t>
  </si>
  <si>
    <t>Partie A) Décompte</t>
  </si>
  <si>
    <t>confirme l'exactitude des données fournies):</t>
  </si>
  <si>
    <t>Annexe 7</t>
  </si>
  <si>
    <t>Date de l'autorisation ou de la modification de l'autorisation</t>
  </si>
  <si>
    <r>
      <t>Montant de base par enfant/adolescent,</t>
    </r>
    <r>
      <rPr>
        <b/>
        <sz val="10"/>
        <rFont val="Arial"/>
        <family val="2"/>
      </rPr>
      <t xml:space="preserve"> renchérissement inclus</t>
    </r>
  </si>
  <si>
    <t>Montant de base total (nombre d'enfants et d'adolescents x montant de base admis par enfant/adolescent)</t>
  </si>
  <si>
    <t>Frais de personnel (stagiaires incl.)</t>
  </si>
  <si>
    <t>+ frais de matériel</t>
  </si>
  <si>
    <t>Total des charges</t>
  </si>
  <si>
    <t>./. recettes (sans donations volontaires de tiers à affectation déterminée, cotisations de membres, 
montant provenant de la compensation des charges, ni franchise communale)</t>
  </si>
  <si>
    <t>Frais de personnel en % de la subvention imputable</t>
  </si>
  <si>
    <t>Proportion minimale des frais de personnel en % de la subvention imputable</t>
  </si>
  <si>
    <t>./. franchise communale (20% de la subvention imputable calculée)</t>
  </si>
  <si>
    <t xml:space="preserve">Total (reporté automatiquement dans la récapitulation générale) </t>
  </si>
  <si>
    <t xml:space="preserve">Lieu, date et signature de la commune (par sa signature, l'autorité compétente confirme qu'elle a dûment reporté les données de la </t>
  </si>
  <si>
    <t>structure dans le décompte de l'aide sociale):</t>
  </si>
  <si>
    <t xml:space="preserve">Lieu, date et signature (par sa signature, la direction de la structure ou l'autorité compétente de la commune confirme l'exactitude  </t>
  </si>
  <si>
    <t>des données fournies):</t>
  </si>
  <si>
    <t>Annexe 8</t>
  </si>
  <si>
    <t>Date de l’autorisation ou de la modification de l’autorisation</t>
  </si>
  <si>
    <r>
      <t>Montant admis à la compensation des charges selon l'autorisation (</t>
    </r>
    <r>
      <rPr>
        <b/>
        <sz val="10"/>
        <rFont val="Arial"/>
        <family val="2"/>
      </rPr>
      <t>sans</t>
    </r>
    <r>
      <rPr>
        <sz val="10"/>
        <rFont val="Arial"/>
        <family val="2"/>
      </rPr>
      <t xml:space="preserve"> adaptation au renchérissement)</t>
    </r>
  </si>
  <si>
    <t xml:space="preserve">1. Données selon les comptes annuels (n'inclure que les structures au bénéfice d'une autorisation d'admission à la compensation des charges) </t>
  </si>
  <si>
    <t>Structures</t>
  </si>
  <si>
    <t>Total des charges
CHF</t>
  </si>
  <si>
    <t>Recettes provenant des contributions de la clientèle ou du service social
CHF</t>
  </si>
  <si>
    <t>Charges non couvertes effectives (total des charges ./. contributions ./. autres revenus)
CHF</t>
  </si>
  <si>
    <r>
      <t xml:space="preserve">Montant admis à la compensation des charges selon l’autorisation, </t>
    </r>
    <r>
      <rPr>
        <b/>
        <sz val="10"/>
        <rFont val="Arial"/>
        <family val="2"/>
      </rPr>
      <t>renchérissement inclus</t>
    </r>
  </si>
  <si>
    <r>
      <t>Total des charges non couvertes effectives de toutes les structures selon les comptes annuels (= total de la 5</t>
    </r>
    <r>
      <rPr>
        <vertAlign val="superscript"/>
        <sz val="10"/>
        <rFont val="Arial"/>
        <family val="2"/>
      </rPr>
      <t>e</t>
    </r>
    <r>
      <rPr>
        <sz val="10"/>
        <rFont val="Arial"/>
        <family val="2"/>
      </rPr>
      <t xml:space="preserve"> colonne du tableau)</t>
    </r>
  </si>
  <si>
    <t>Montant reporté automatiquement dans la récapitulation générale
(plus petit des deux montants ci-dessus)</t>
  </si>
  <si>
    <t>2. Rétribution</t>
  </si>
  <si>
    <t>Lieu, date et signature (par sa signature, la direction de la structure ou l'autorité compétente de la commune confirme l'exactitude des données fournies):</t>
  </si>
  <si>
    <t xml:space="preserve">Lieu, date et signature de la commune (par sa signature, l'autorité compétente confirme qu'elle a dûment reporté les données fournies dans le décompte </t>
  </si>
  <si>
    <t>de l'aide sociale):</t>
  </si>
  <si>
    <t>'2b Synthèse par commune'!A16</t>
  </si>
  <si>
    <t>'3a Synthèse par commune'!A15</t>
  </si>
  <si>
    <t>Total Aufwand BK gemäss RtKb</t>
  </si>
  <si>
    <t>bk_aufwandInklBkRtKb</t>
  </si>
  <si>
    <t>spezKo_vertrauensarzt</t>
  </si>
  <si>
    <t>Eingefügt in R2020_2</t>
  </si>
  <si>
    <t>- ne pas avoir été conclu abusivement (à vérifier pour les conventions d’entretien concernant un enfant majeur).</t>
  </si>
  <si>
    <t>Dépenses effectives de traitement (salaires bruts + prestations sociales de l'employeur) pour les stagiaires (art. 44, al. 2a OASoc)</t>
  </si>
  <si>
    <t xml:space="preserve">Lieu, date et signature (par sa signature, la direction du service social ou l'autorité compétente de la commune </t>
  </si>
  <si>
    <r>
      <t>Dépenses effectives de perfectionnement pour le personnel du service social (art. 44, al. 2a OASoc)</t>
    </r>
    <r>
      <rPr>
        <b/>
        <sz val="10"/>
        <rFont val="Arial"/>
        <family val="2"/>
      </rPr>
      <t xml:space="preserve"> dans le domaine de l’aide sociale individuelle (protection de l'enfant et de l'adulte non incluse)</t>
    </r>
  </si>
  <si>
    <r>
      <t>Nombre de cas</t>
    </r>
    <r>
      <rPr>
        <b/>
        <sz val="10"/>
        <rFont val="Arial"/>
        <family val="2"/>
      </rPr>
      <t xml:space="preserve"> dans le</t>
    </r>
    <r>
      <rPr>
        <sz val="10"/>
        <rFont val="Arial"/>
        <family val="2"/>
      </rPr>
      <t xml:space="preserve"> </t>
    </r>
    <r>
      <rPr>
        <b/>
        <sz val="10"/>
        <rFont val="Arial"/>
        <family val="2"/>
      </rPr>
      <t>domaine de l'aide sociale individuelle</t>
    </r>
    <r>
      <rPr>
        <sz val="10"/>
        <rFont val="Arial"/>
        <family val="2"/>
      </rPr>
      <t xml:space="preserve"> (conseils sur des thèmes tels que les finances, le logement, l’addiction, etc.)*</t>
    </r>
  </si>
  <si>
    <t>Fonction MCH2</t>
  </si>
  <si>
    <t xml:space="preserve">Recettes et remboursements avec provision d'encaissement
CHF </t>
  </si>
  <si>
    <t>Charges nettes 
(charges brutes moins revenus)
CHF</t>
  </si>
  <si>
    <t>Total des
revenus
CHF</t>
  </si>
  <si>
    <t>Charges nettes (charges brutes moins revenus)
CHF</t>
  </si>
  <si>
    <t>Examens médicaux effectués par des médecins ou dentistes conseils</t>
  </si>
  <si>
    <t>Les documents justificatifs à joindre aux demandes d'avance (art. 4 OARCE) ont-ils été exigés tant pour les nouveaux cas que pour les dossiers en cours, et la situation de fortune et, le cas échéant, de revenu a-t-elle été examinée? (art. 7 OARCE)</t>
  </si>
  <si>
    <t>Cas d'aide matérielle (art. 34d, al. 1-4 OASoc et ISCB 8/860.111/1.2)</t>
  </si>
  <si>
    <t>Forfait d'aide matérielle (art. 34d, al. 1-4 OASoc)</t>
  </si>
  <si>
    <t>Réductions de primes versées par l'Office des assurances sociales (sans provision d'encaissement)
CHF</t>
  </si>
  <si>
    <t>Décompte de l'aide sociale (DAS): récapitulation générale</t>
  </si>
  <si>
    <r>
      <t xml:space="preserve">Les dépenses au titre de l'aide matérielle ne doivent </t>
    </r>
    <r>
      <rPr>
        <b/>
        <sz val="10"/>
        <rFont val="Arial"/>
        <family val="2"/>
      </rPr>
      <t>pas</t>
    </r>
    <r>
      <rPr>
        <sz val="10"/>
        <rFont val="Arial"/>
        <family val="2"/>
      </rPr>
      <t xml:space="preserve"> inclure impôts ou taxes 
(norme CSIAS C 1). Cette disposition est-elle respectée?</t>
    </r>
  </si>
  <si>
    <r>
      <t xml:space="preserve">Les coûts particuliers de l'aide matérielle (examens médicaux effectués par des médecins ou dentistes conseils), qui ne doivent </t>
    </r>
    <r>
      <rPr>
        <b/>
        <sz val="10"/>
        <rFont val="Arial"/>
        <family val="2"/>
      </rPr>
      <t>pas</t>
    </r>
    <r>
      <rPr>
        <sz val="10"/>
        <rFont val="Arial"/>
        <family val="2"/>
      </rPr>
      <t xml:space="preserve"> être comptabilisés dans les dossiers individuels, ont-ils été inscrits séparément dans l'annexe 2d?</t>
    </r>
  </si>
  <si>
    <t>LAS: loi fédérale sur la compétence en matière d’assistance des personnes dans le besoin (loi fédérale en matière d’assistance)</t>
  </si>
  <si>
    <t>LAS: Loi fédérale sur la compétence en matière d’assistance des personnes dans le besoin (loi fédérale en matière d’assistance)</t>
  </si>
  <si>
    <t xml:space="preserve">    =&gt; article 33b de l'ordonnance sur l'aide sociale (OASoc)</t>
  </si>
  <si>
    <t>LAS: loi fédérale en matière d'assistance / LASoc: loi sur l'aide sociale / OASoc: ordonnance sur l'aide sociale</t>
  </si>
  <si>
    <t xml:space="preserve">Frais d'aide immédiate à des personnes non domiciliées en Suisse </t>
  </si>
  <si>
    <t>Cas d'aide matérielle relevant de la LPEP (art. 34d, al. 5 OASoc)</t>
  </si>
  <si>
    <t>(LPEP: loi sur les prestations particulières d’encouragement et de protection destinées aux enfants)</t>
  </si>
  <si>
    <t>Nombre de cas</t>
  </si>
  <si>
    <r>
      <t xml:space="preserve">Nombre de cas </t>
    </r>
    <r>
      <rPr>
        <b/>
        <sz val="10"/>
        <rFont val="Arial"/>
        <family val="2"/>
      </rPr>
      <t xml:space="preserve">dans le domaine de la protection de l’enfant librement consentie </t>
    </r>
    <r>
      <rPr>
        <sz val="10"/>
        <rFont val="Arial"/>
        <family val="2"/>
      </rPr>
      <t>(p. ex. orientation vers d’autres services, coaching, etc.),</t>
    </r>
    <r>
      <rPr>
        <b/>
        <sz val="10"/>
        <rFont val="Arial"/>
        <family val="2"/>
      </rPr>
      <t xml:space="preserve"> nombre de cas relevant de la LPEP non inclus</t>
    </r>
    <r>
      <rPr>
        <sz val="10"/>
        <rFont val="Arial"/>
        <family val="2"/>
      </rPr>
      <t>*</t>
    </r>
  </si>
  <si>
    <r>
      <t xml:space="preserve">Nombre de cas </t>
    </r>
    <r>
      <rPr>
        <b/>
        <sz val="10"/>
        <rFont val="Arial"/>
        <family val="2"/>
      </rPr>
      <t>relevant de la LPEP</t>
    </r>
    <r>
      <rPr>
        <sz val="10"/>
        <rFont val="Arial"/>
        <family val="2"/>
      </rPr>
      <t>*</t>
    </r>
  </si>
  <si>
    <t>* Il s’agit de cas faisant uniquement l’objet d’une consultation sociale, qui ne donnent pas lieu au versement d’une aide matérielle ni à une rétribution par des tiers (l’autorité de placement de l'enfant et de l'adulte pour une question de l’autorité parentale conjointe, p. ex.).</t>
  </si>
  <si>
    <t>Nombre de dossiers de recouvrement pur concernant des prestations d’entretien de l'enfant selon art. 1 de la loi sur l'aide au recouvrement et les avances de contributions d'entretien (LARCE)</t>
  </si>
  <si>
    <r>
      <t xml:space="preserve">Nombre de dossiers de recouvrement </t>
    </r>
    <r>
      <rPr>
        <sz val="10"/>
        <color rgb="FFFF0000"/>
        <rFont val="Arial"/>
        <family val="2"/>
      </rPr>
      <t>actifs</t>
    </r>
    <r>
      <rPr>
        <sz val="10"/>
        <rFont val="Arial"/>
        <family val="2"/>
      </rPr>
      <t xml:space="preserve"> (dossiers d’aide sociale actifs) selon art. 37, al. 1 de la loi sur l'aide sociale (LASoc)</t>
    </r>
  </si>
  <si>
    <t>1. Compléter les champs jaunes et verts (passer au champ suivant à l'aide du tabulateur).</t>
  </si>
  <si>
    <t>2. Envoyer le présent fichier par courriel au format Excel accompagné d'une copie dûment signée au format PDF</t>
  </si>
  <si>
    <t xml:space="preserve">    au plus tard d'ici le 31 mars de l'exercice suivant l'année du décompte à info.finanzen.ais.gsi@be.ch.</t>
  </si>
  <si>
    <t>+ forfait d'aide matérielle relevant de la LPEP (art. 34d, al. 5 OASoc)</t>
  </si>
  <si>
    <t>Wirtschaftliche Hilfe KFSG</t>
  </si>
  <si>
    <t>Anzahl Fälle WH KFSG</t>
  </si>
  <si>
    <t>915001001.49</t>
  </si>
  <si>
    <t>bk_whkfsg_anzahlFaelle</t>
  </si>
  <si>
    <t>Massgebende Anzahl Fälle WH KFSG</t>
  </si>
  <si>
    <t>Fallpauschale WH KFSG</t>
  </si>
  <si>
    <t>Eingefügt in R2022_2</t>
  </si>
  <si>
    <t>Innerhalb tableImport berechnetes Feld!</t>
  </si>
  <si>
    <t>Forfait par cas 
(2022)</t>
  </si>
  <si>
    <t>+/- correction 2022 du nombre de cas d'aide matérielle</t>
  </si>
  <si>
    <t>+/- correction 2022 du nombre de cas de consultation préventive</t>
  </si>
  <si>
    <t>+/- correction 2022 du nombre de cas de recouvrement de contributions d'entretien</t>
  </si>
  <si>
    <t>+/- correction 2022 du nombre de cas d'avance de contributions d'entretien</t>
  </si>
  <si>
    <t>+/- correction 2022 des frais de traitement des stagiaires</t>
  </si>
  <si>
    <t>1. Données figurant dans l'autorisation</t>
  </si>
  <si>
    <t>2. Données selon le compte d'exploitation</t>
  </si>
  <si>
    <t>(3) Subvention imputable réduite si frais de personnel inférieurs à 70%</t>
  </si>
  <si>
    <t>(Direction de la santé, des affaires sociales et de l'intégration (page d'accueil) &gt; Prestations &gt; Formulaires, demandes et autorisations par structure organisationnelle &gt; Formulaires, demandes et autorisations de l'Office de l'intégration et de l'action sociale &gt; Famille et société &gt; Animation de jeunesse)</t>
  </si>
  <si>
    <t>(1) Montant maximal de la subvention imputable (art. 91 de l'ordonnance sur les programmes de soutien à l'enfance, à la jeunesse et à la famille, OEJF)</t>
  </si>
  <si>
    <t>(2) Charges nettes (art. 90 OEJF)</t>
  </si>
  <si>
    <t>3. Subvention imputable (art. 90 OEJF)</t>
  </si>
  <si>
    <t>Subvention imputable = plus petit des montants 1 et 2</t>
  </si>
  <si>
    <t>Subvention imputable calculée = plus petit des montants 1, 2 ou 3</t>
  </si>
  <si>
    <t>L'ensemble du groupe cible des 6-20 ans a-t-il pu bénéficier de prestations d'animation adéquates?</t>
  </si>
  <si>
    <t>4. Montant admis à la compensation des charges (art. 90 OEJF)</t>
  </si>
  <si>
    <t xml:space="preserve">    L'original du DAS est à conserver par la commune (merci de ne pas nous l'envoyer sur papier).</t>
  </si>
  <si>
    <t>La commune a-t-elle fait valoir les remboursements au sens de la loi fédérale en matière d'assistance (LAS) pour des cas d’urgence ou des décisions d'assistance reposant manifestement sur une erreur? (art. 13-15 OASoc)</t>
  </si>
  <si>
    <t>Le décompte définitif des montants dus au titre de la réduction des primes établi par l’Office des assurances sociales (OAS) est-il disponible pour l’année de décompte sous revue (cf. ISCB 8/842.114/2.1)?</t>
  </si>
  <si>
    <t>Des réductions de primes versées par l’OAS ont-elles été comptabilisées correctement (cf. ISCB 8/860.111/2.5)?</t>
  </si>
  <si>
    <t>Les frais irrécouvrables d’urgence médicale et de retour pris en charge pour des personnes non domiciliées en Suisse ont-ils été inscrits séparément dans l'annexe 2e? (art. 21 LAS en corrélation avec art. 57l de la LASoc et art. 8h1 et 8h2 OASoc)</t>
  </si>
  <si>
    <t xml:space="preserve">Cotisations de membres (non déduites du total des charges pour calculer les subventions imputables, selon art. 90, al. 3 OEJF) </t>
  </si>
  <si>
    <t xml:space="preserve">Donations volontaires de tiers à affectation déterminée (non déduites du total des charges pour calculer les subventions imputables, selon art. 90, al. 3 OEJF) </t>
  </si>
  <si>
    <t>Une autorité chargée d'assurer la surveillance a-t-elle été désignée? Si oui, mène-t-elle à bien ses missions, notamment s'agissant du contrôle ponctuel? (art. 89 OEJF)</t>
  </si>
  <si>
    <t>Autres revenus (hormis les dons et les legs versés à des fins déterminées pour d’autres domaines d'activité selon art. 8, al. 2 LPASoc et art. 5, al. 2, lit. c OPASoc et hormis le montant provenant de la compensation des charges)
CHF</t>
  </si>
  <si>
    <r>
      <t xml:space="preserve">Les coûts portés à la compensation des charges ne doivent </t>
    </r>
    <r>
      <rPr>
        <b/>
        <sz val="10"/>
        <rFont val="Arial"/>
        <family val="2"/>
      </rPr>
      <t>pas</t>
    </r>
    <r>
      <rPr>
        <sz val="10"/>
        <rFont val="Arial"/>
        <family val="2"/>
      </rPr>
      <t xml:space="preserve"> comporter de frais d'étude de projet ni de frais d'investissement, conformément à l'autorisation (art. 32, al. 1, lit. f, art. 33, al. 2 et art. 120, al. 1, lit. c LPASoc et art. 85, al. 1 OPASoc. Cette disposition est-elle respectée?</t>
    </r>
  </si>
  <si>
    <t>Des mesures ont-elles été prises en matière d'assurance qualité? Si oui, lesquelles? (art. 44, al. 1 OASoc, et art. 114, al. 2-4 LPASoc)</t>
  </si>
  <si>
    <t>Nombre de cas admissibles au maximum = 25% des cas d'aide matérielle (cas relevant de la LPEP inclus) sans les cas d'aide immédiate ni les dossiers de recouvrement</t>
  </si>
  <si>
    <t>- Remboursements de l'aide matérielle par ses bénéficiaires, leurs conjoint·e·s, leurs partenaires ou leurs héritier·ère·s (selon art. 40, 
  al. 1, 2, 4 et 5, art. 41 et 42 LASoc)</t>
  </si>
  <si>
    <t>Remboursement des bénéficiaires, conjoint·e·s, partenaires ou héritier·ère·s</t>
  </si>
  <si>
    <t>Pensions alimentaires pour (ex-)conjoint·e·s</t>
  </si>
  <si>
    <t>Anzahl Kinder/Jugendliche gemäss Ermächtigung</t>
  </si>
  <si>
    <t>jugArb_anzKinder</t>
  </si>
  <si>
    <t>Kürzung Grundbetrag</t>
  </si>
  <si>
    <t>jugArb_kuerzungGrundbetrag</t>
  </si>
  <si>
    <t>Zusatzbetrag</t>
  </si>
  <si>
    <t>jugArb_zusatzbetrag</t>
  </si>
  <si>
    <t>Personalaufwand</t>
  </si>
  <si>
    <t>jugArb_personalaufwand</t>
  </si>
  <si>
    <t>Sachaufwand</t>
  </si>
  <si>
    <t>jugArb_sachaufwand</t>
  </si>
  <si>
    <t>Ertrag ohne freiwillige zweckbestimmte Zuwendungen Dritter/ohne Mitgliederbeiträge/ohne Beitrag Lastenausgleich/ohne Selbstbehalt Gemeinde</t>
  </si>
  <si>
    <t>jugArb_ertrag</t>
  </si>
  <si>
    <t>jugArb_freiwZuwendungen</t>
  </si>
  <si>
    <t>jugArb_mitgliederbeitraege</t>
  </si>
  <si>
    <t>Kürzung anrechenbarer Beitrag</t>
  </si>
  <si>
    <t>jugArb_kuerzungAnrBeitrag</t>
  </si>
  <si>
    <t>Berechneter anrechenbarer Beitrag</t>
  </si>
  <si>
    <t>jugArb_anrBeitrag</t>
  </si>
  <si>
    <t>Selbstbehalt Gemeinde</t>
  </si>
  <si>
    <t>jugArb_SB</t>
  </si>
  <si>
    <t>jugArb_anrechBeitragMinusSB</t>
  </si>
  <si>
    <t>Link zeigt auf Register 3a -&gt; Ok</t>
  </si>
  <si>
    <t>Annexe 4b</t>
  </si>
  <si>
    <t>= frais de traitement 2024</t>
  </si>
  <si>
    <t>Calcul du montant admis à la compensation des charges pour 2024</t>
  </si>
  <si>
    <t>Conformément à l’article 36b, alinéa 1 OASoc, le total des forfaits par cas 2023 est déterminé selon le nombre de cas 2024,</t>
  </si>
  <si>
    <t xml:space="preserve">auquel s'ajoutent les frais de traitement des stagiaires 2024. Selon l'alinéa 2, le montant admis à la compensation des charges </t>
  </si>
  <si>
    <t>pour 2024 est fixé en calculant la moyenne des montants des années 2023 et 2024.</t>
  </si>
  <si>
    <t>A remplir uniquement si l'Office de l'intégration et de l'action sociale (OIAS) a procédé à des corrections pour 2023</t>
  </si>
  <si>
    <t>Correction (+ ou -) du nombre de cas d'aide matérielle 2023*</t>
  </si>
  <si>
    <t>Correction (+ ou -) du nombre de cas d'aide matérielle relevant de la LPEP 2023 (art. 34d, al. 5 OASoc)*</t>
  </si>
  <si>
    <t>Correction (+ ou -) du nombre de cas de consultation préventive 2023*</t>
  </si>
  <si>
    <t>Correction (+ ou -) du nombre de cas de recouvrement de contributions d'entretien 2023*</t>
  </si>
  <si>
    <t>Correction (+ ou -) du nombre de cas d'avance de contributions d'entretien 2023*</t>
  </si>
  <si>
    <t>Correction (+ ou -) des frais de traitement des stagiaires 2023*</t>
  </si>
  <si>
    <t>* Pour arrêter le montant imputable en 2024, l'OIAS se référera aux données de la décision susmentionnée.</t>
  </si>
  <si>
    <t>Montant total des frais de traitement 2024</t>
  </si>
  <si>
    <t>Forfait par cas 
(2023)</t>
  </si>
  <si>
    <t>+/- correction 2023 du nombre de cas d'aide matérielle</t>
  </si>
  <si>
    <t xml:space="preserve">+/- correction 2023 du nombre de cas relevant de la LPEP </t>
  </si>
  <si>
    <t>+/- correction 2023 du nombre de cas de consultation préventive</t>
  </si>
  <si>
    <t>+/- correction 2023 du nombre de cas de recouvrement de contributions d'entretien</t>
  </si>
  <si>
    <t>+/- correction 2023 du nombre de cas d'avance de contributions d'entretien</t>
  </si>
  <si>
    <t>+/- correction 2023 des frais de traitement des stagiaires</t>
  </si>
  <si>
    <t>a) Montant calculé pour 2024</t>
  </si>
  <si>
    <t>Montant total des frais de traitement 2023 (cf. décision de mai 2024, annexe 2D, colonne I)</t>
  </si>
  <si>
    <t>b) Montant calculé pour 2023</t>
  </si>
  <si>
    <t>Moyenne entre a et b = montant admis à la compensation des charges pour 2024  
(reporté automatiquement dans la récapitulation générale)</t>
  </si>
  <si>
    <t>+/- correction 2022 du nombre de cas relevant de la LPEP</t>
  </si>
  <si>
    <t>A remplir en se référant à la décision de mai 2024, annexe 2D</t>
  </si>
  <si>
    <t>Montant total des frais de traitement 2023 (cf. colonne I)*</t>
  </si>
  <si>
    <t>Correction (+ ou -) du nombre de cas d'aide matérielle 2022 (cf. paragraphe du bas)*</t>
  </si>
  <si>
    <t>Correction (+ ou -) du nombre de cas de recouvrement de contributions d'entretien 2022 (cf. idem)*</t>
  </si>
  <si>
    <t>Correction (+ ou -) du nombre de cas d'avance de contributions d'entretien 2022 (cf. idem)*</t>
  </si>
  <si>
    <t>Correction (+ ou -) des frais de traitement des stagiaires 2022 (cf. idem)*</t>
  </si>
  <si>
    <t xml:space="preserve"> Annexe 4a</t>
  </si>
  <si>
    <t xml:space="preserve">Exercice: </t>
  </si>
  <si>
    <t>Numéro AVS</t>
  </si>
  <si>
    <t>Aide sociale individuelle</t>
  </si>
  <si>
    <t>LPEP</t>
  </si>
  <si>
    <t>Catégorie du cas (un seul choix possible)</t>
  </si>
  <si>
    <t>Catégorie du cas (un seul choix possible / charge de travail de 3 heures au minimum)</t>
  </si>
  <si>
    <t>Numéro AVS de la personne requérante</t>
  </si>
  <si>
    <t>Numéro AVS de l'enfant</t>
  </si>
  <si>
    <t>Numéro AVS de la débitrice ou du débiteur</t>
  </si>
  <si>
    <r>
      <t xml:space="preserve">Année de naissance </t>
    </r>
    <r>
      <rPr>
        <b/>
        <sz val="10"/>
        <color rgb="FFFF0000"/>
        <rFont val="Arial"/>
        <family val="2"/>
      </rPr>
      <t>(enfants)</t>
    </r>
  </si>
  <si>
    <t>LARCE: loi sur l'aide au recouvrement et les avances de contributions d'entretien</t>
  </si>
  <si>
    <t>LASoc: loi sur l'aide sociale</t>
  </si>
  <si>
    <t>Correction (+ ou -) du nombre de cas de consultation préventive 2022 (cf. idem)*</t>
  </si>
  <si>
    <t>Renchérissem-ent en suspens</t>
  </si>
  <si>
    <t>Autorisation 2024-2027 (renchérissem-ent incl. en 2024)</t>
  </si>
  <si>
    <t>Protection de l’enfant librement consentie</t>
  </si>
  <si>
    <t>Dossiers de recouvrement pour l’entretien après le divorce selon art. 1a LARCE</t>
  </si>
  <si>
    <t>Dossiers de recouvrement clos (dossiers d’aide sociale clos) selon art. 37, al. 1 LASoc</t>
  </si>
  <si>
    <t>Dossiers de simple gestion des actes de défaut de biens requérant au minimum trois heures de travail au cours de l'année civile</t>
  </si>
  <si>
    <t>Dossiers de recouvrement actifs (dossiers d’aide sociale actifs) selon art. 37, al. 1 LASoc</t>
  </si>
  <si>
    <t>Les cas relevant de la LPEP ne doivent pas déjà constituer des cas d’aide matérielle selon l’article 34d alinéa 5 OASoc et l’ISCB 8/860.111/1.2 (cf. décompte de l’aide matérielle par catégorie). Ces cas ont-ils été consignés correctement ?</t>
  </si>
  <si>
    <t xml:space="preserve">Les cas de consultation préventive ne doivent pas déjà constituer des cas d’aide matérielle selon l’article 34e OASoc et l’ISCB 8/860.111/1.2 (cf. décompte de l’aide matérielle par catégorie). Ces cas ont-ils été consignés correctement ? </t>
  </si>
  <si>
    <t>Autorisation valable depuis (p. ex. 01.01.2024)</t>
  </si>
  <si>
    <r>
      <t xml:space="preserve">Les dépenses au titre de l'aide matérielle ne doivent </t>
    </r>
    <r>
      <rPr>
        <b/>
        <sz val="10"/>
        <rFont val="Arial"/>
        <family val="2"/>
      </rPr>
      <t>pas</t>
    </r>
    <r>
      <rPr>
        <sz val="10"/>
        <rFont val="Arial"/>
        <family val="2"/>
      </rPr>
      <t xml:space="preserve"> inclure les frais d'exécution de la protection de l’enfant et de l’adulte pour des prestations ordonnées par l’autorité de protection de l'enfant et de l’adulte (APEA) ou des prestations relevant de la loi sur les prestations particulières d’encouragement et de protection destinées aux enfants (exception faite des frais accessoires des mesures, qu’elles soient ordonnées ou non par l’APEA). Cette disposition est-elle respectée? </t>
    </r>
  </si>
  <si>
    <t>À remplir sans données personnelles</t>
  </si>
  <si>
    <t>en vertu de l'art. 21 LAS en corrélation avec l'art. 57l LASoc et les art. 8h1 et 8h2 OASoc</t>
  </si>
  <si>
    <t xml:space="preserve">(soins médicaux d'urgence réalisés en mode hospitalier et frais de retour) </t>
  </si>
  <si>
    <r>
      <t>Dépenses effectives de traitement (salaires bruts + prestations sociales de l'employeur) pour le personnel du service social, sans frais de perfectionnement ni de traitement des stagiaires (art. 44, al. 2a de l'ordonnance sur l'aide sociale, OASoc)</t>
    </r>
    <r>
      <rPr>
        <b/>
        <sz val="10"/>
        <rFont val="Arial"/>
        <family val="2"/>
      </rPr>
      <t xml:space="preserve"> dans le domaine de l’aide sociale individuelle (protection de l'enfant et de l'adulte non incluse)</t>
    </r>
  </si>
  <si>
    <t>Correction (+ ou -) du nombre de cas d'aide matérielle 2022 relevant de la LPEP (cf. idem) (art. 34d, al. 5 OASoc)*</t>
  </si>
  <si>
    <t>Les cas de consultation préventive on-t-il été documentés par écrit et la charge de travail par cas a-t-elle représenté au minimum trois heures au cours de l'année civile? (art. 34e OASoc et ISCB 8/860.111/1.2)</t>
  </si>
  <si>
    <t>Dossiers de recouvrement simples concernant des prestations d’entretien de l'enfant selon art. 1 LARCE</t>
  </si>
  <si>
    <t>Dossiers d’avance actifs concernant des contributions d’entretien pour enfants (avec ou sans recouvrement) selon art. 3 LARCE</t>
  </si>
  <si>
    <t>Veuillez considérer la présente annexe comme une liste type. Si la liste générée par votre système de gestion des cas fournit les mêmes informations que celles demandées ici, alors cette liste peut nous être transmise. Merci de l'envoyer accompagnée des documents de contrôle d’ici le 30 juin de l'exercice suivant l'année du décompte à info.finanzen.ais.gsi@be.ch (ou en même temps que DAS, d’ici le 31 mars).</t>
  </si>
  <si>
    <t>Veuillez considérer la présente annexe comme une liste type. Si la liste générée par votre système de gestion des cas fournit les mêmes informations que celles demandées ici, alors cette liste peut nous être transmise. Merci de l'envoyer accompagnée des documents de contrôle d’ici le 30 juin de l'exercice suivant l'année du décompte à info.finanzen.ais.gsi@be.ch (ou en même temps que le DAS, d’ici le 31 mars).</t>
  </si>
  <si>
    <r>
      <t xml:space="preserve">Nombre d'enfants et d'adolescents conformément à la liste des montants maximaux </t>
    </r>
    <r>
      <rPr>
        <sz val="10"/>
        <color rgb="FFFF0000"/>
        <rFont val="Arial"/>
        <family val="2"/>
      </rPr>
      <t>(voir cellule E14)</t>
    </r>
  </si>
  <si>
    <r>
      <t xml:space="preserve">+ montant supplémentaire* conformément à la liste des montants maximaux </t>
    </r>
    <r>
      <rPr>
        <sz val="10"/>
        <color rgb="FFFF0000"/>
        <rFont val="Arial"/>
        <family val="2"/>
      </rPr>
      <t>(voir cellule E14)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</si>
</sst>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_ [$€-2]\ * #,##0.00_ ;_ [$€-2]\ * \-#,##0.00_ ;_ [$€-2]\ * &quot;-&quot;??_ "/>
    <numFmt numFmtId="166" formatCode="dd/mm/yyyy;@"/>
  </numFmts>
  <fonts count="41"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u/>
      <sz val="10"/>
      <name val="Arial"/>
      <family val="2"/>
    </font>
    <font>
      <sz val="8"/>
      <name val="Arial"/>
      <family val="2"/>
    </font>
    <font>
      <b/>
      <sz val="8"/>
      <name val="Arial"/>
      <family val="2"/>
    </font>
    <font>
      <b/>
      <u/>
      <sz val="10"/>
      <name val="Arial"/>
      <family val="2"/>
    </font>
    <font>
      <vertAlign val="superscript"/>
      <sz val="10"/>
      <name val="Arial"/>
      <family val="2"/>
    </font>
    <font>
      <i/>
      <sz val="8"/>
      <name val="Arial"/>
      <family val="2"/>
    </font>
    <font>
      <sz val="8"/>
      <color indexed="9"/>
      <name val="Arial"/>
      <family val="2"/>
    </font>
    <font>
      <vertAlign val="superscript"/>
      <sz val="14"/>
      <name val="Arial"/>
      <family val="2"/>
    </font>
    <font>
      <vertAlign val="superscript"/>
      <sz val="14"/>
      <color indexed="9"/>
      <name val="Arial"/>
      <family val="2"/>
    </font>
    <font>
      <vertAlign val="superscript"/>
      <sz val="10"/>
      <color indexed="9"/>
      <name val="Arial"/>
      <family val="2"/>
    </font>
    <font>
      <b/>
      <sz val="12"/>
      <color indexed="9"/>
      <name val="Arial"/>
      <family val="2"/>
    </font>
    <font>
      <u/>
      <sz val="8"/>
      <name val="Arial"/>
      <family val="2"/>
    </font>
    <font>
      <sz val="10"/>
      <name val="Arial"/>
      <family val="2"/>
    </font>
    <font>
      <sz val="10"/>
      <name val="Arial"/>
      <family val="2"/>
    </font>
    <font>
      <b/>
      <sz val="11"/>
      <name val="Arial"/>
      <family val="2"/>
    </font>
    <font>
      <sz val="11"/>
      <name val="Arial"/>
      <family val="2"/>
    </font>
    <font>
      <sz val="11"/>
      <color rgb="FFFF0000"/>
      <name val="Arial"/>
      <family val="2"/>
    </font>
    <font>
      <sz val="10"/>
      <color rgb="FFFF0000"/>
      <name val="Arial"/>
      <family val="2"/>
    </font>
    <font>
      <sz val="16"/>
      <color rgb="FFFF0000"/>
      <name val="Arial"/>
      <family val="2"/>
    </font>
    <font>
      <b/>
      <sz val="12"/>
      <color theme="0"/>
      <name val="Arial"/>
      <family val="2"/>
    </font>
    <font>
      <sz val="12"/>
      <color theme="0"/>
      <name val="Arial"/>
      <family val="2"/>
    </font>
    <font>
      <b/>
      <vertAlign val="superscript"/>
      <sz val="10"/>
      <color indexed="9"/>
      <name val="Arial"/>
      <family val="2"/>
    </font>
    <font>
      <b/>
      <vertAlign val="superscript"/>
      <sz val="10"/>
      <name val="Arial"/>
      <family val="2"/>
    </font>
    <font>
      <b/>
      <u/>
      <sz val="12"/>
      <name val="Arial"/>
      <family val="2"/>
    </font>
    <font>
      <b/>
      <sz val="10"/>
      <color rgb="FFFF0000"/>
      <name val="Arial"/>
      <family val="2"/>
    </font>
    <font>
      <b/>
      <sz val="10"/>
      <color theme="0"/>
      <name val="Arial"/>
      <family val="2"/>
    </font>
    <font>
      <sz val="8"/>
      <color rgb="FFFF0000"/>
      <name val="Arial"/>
      <family val="2"/>
    </font>
    <font>
      <sz val="10"/>
      <color theme="0"/>
      <name val="Arial"/>
      <family val="2"/>
    </font>
    <font>
      <sz val="10"/>
      <color rgb="FF000000"/>
      <name val="Arial"/>
      <family val="2"/>
    </font>
    <font>
      <vertAlign val="superscript"/>
      <sz val="10"/>
      <color theme="1"/>
      <name val="Arial"/>
      <family val="2"/>
    </font>
    <font>
      <b/>
      <vertAlign val="superscript"/>
      <sz val="10"/>
      <color theme="1"/>
      <name val="Arial"/>
      <family val="2"/>
    </font>
    <font>
      <vertAlign val="superscript"/>
      <sz val="10"/>
      <color theme="0"/>
      <name val="Arial"/>
      <family val="2"/>
    </font>
    <font>
      <vertAlign val="superscript"/>
      <sz val="14"/>
      <color theme="0"/>
      <name val="Arial"/>
      <family val="2"/>
    </font>
    <font>
      <u/>
      <sz val="10"/>
      <color theme="10"/>
      <name val="Arial"/>
      <family val="2"/>
    </font>
    <font>
      <i/>
      <sz val="10"/>
      <name val="Arial"/>
      <family val="2"/>
    </font>
  </fonts>
  <fills count="12">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50"/>
        <bgColor indexed="64"/>
      </patternFill>
    </fill>
    <fill>
      <patternFill patternType="solid">
        <fgColor indexed="48"/>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6" tint="-0.249977111117893"/>
        <bgColor theme="6" tint="-0.249977111117893"/>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top/>
      <bottom style="thin">
        <color theme="6" tint="0.79998168889431442"/>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ck">
        <color indexed="64"/>
      </right>
      <top/>
      <bottom style="thin">
        <color indexed="64"/>
      </bottom>
      <diagonal/>
    </border>
  </borders>
  <cellStyleXfs count="14">
    <xf numFmtId="0" fontId="0" fillId="0" borderId="0"/>
    <xf numFmtId="43" fontId="1"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1" fillId="0" borderId="0"/>
    <xf numFmtId="0" fontId="1" fillId="0" borderId="0"/>
    <xf numFmtId="0" fontId="39" fillId="0" borderId="0" applyNumberFormat="0" applyFill="0" applyBorder="0" applyAlignment="0" applyProtection="0"/>
  </cellStyleXfs>
  <cellXfs count="628">
    <xf numFmtId="0" fontId="0" fillId="0" borderId="0" xfId="0"/>
    <xf numFmtId="4" fontId="3" fillId="0" borderId="0" xfId="0" applyNumberFormat="1" applyFont="1"/>
    <xf numFmtId="4" fontId="0" fillId="0" borderId="0" xfId="0" applyNumberFormat="1"/>
    <xf numFmtId="4" fontId="2" fillId="0" borderId="0" xfId="0" applyNumberFormat="1" applyFont="1"/>
    <xf numFmtId="4" fontId="2" fillId="0" borderId="1" xfId="0" applyNumberFormat="1" applyFont="1" applyBorder="1" applyAlignment="1">
      <alignment horizontal="center" vertical="center" wrapText="1"/>
    </xf>
    <xf numFmtId="4" fontId="0" fillId="0" borderId="1" xfId="0" applyNumberFormat="1" applyBorder="1" applyAlignment="1">
      <alignment vertical="center" wrapText="1"/>
    </xf>
    <xf numFmtId="4" fontId="3" fillId="0" borderId="0" xfId="0" applyNumberFormat="1" applyFont="1" applyAlignment="1">
      <alignment horizontal="left" vertical="center"/>
    </xf>
    <xf numFmtId="4" fontId="5" fillId="0" borderId="0" xfId="0" applyNumberFormat="1" applyFont="1"/>
    <xf numFmtId="4" fontId="2" fillId="0" borderId="1" xfId="0" applyNumberFormat="1" applyFont="1" applyBorder="1" applyAlignment="1">
      <alignment horizontal="center"/>
    </xf>
    <xf numFmtId="4" fontId="4" fillId="0" borderId="0" xfId="0" applyNumberFormat="1" applyFont="1"/>
    <xf numFmtId="4" fontId="2" fillId="0" borderId="0" xfId="0" applyNumberFormat="1" applyFont="1" applyAlignment="1">
      <alignment horizontal="left" vertical="center"/>
    </xf>
    <xf numFmtId="4" fontId="0" fillId="0" borderId="0" xfId="0" applyNumberFormat="1" applyAlignment="1">
      <alignment vertical="center"/>
    </xf>
    <xf numFmtId="4" fontId="2" fillId="0" borderId="0" xfId="0" applyNumberFormat="1" applyFont="1" applyAlignment="1">
      <alignment vertical="center"/>
    </xf>
    <xf numFmtId="4" fontId="3" fillId="0" borderId="1" xfId="0" applyNumberFormat="1" applyFont="1" applyBorder="1"/>
    <xf numFmtId="4" fontId="1" fillId="0" borderId="1" xfId="0" applyNumberFormat="1" applyFont="1" applyBorder="1"/>
    <xf numFmtId="4" fontId="0" fillId="0" borderId="0" xfId="0" applyNumberFormat="1" applyAlignment="1">
      <alignment vertical="center" wrapText="1"/>
    </xf>
    <xf numFmtId="0" fontId="0" fillId="0" borderId="1" xfId="0" applyBorder="1" applyAlignment="1">
      <alignment horizontal="center" vertical="center"/>
    </xf>
    <xf numFmtId="4" fontId="2" fillId="2" borderId="1" xfId="0" applyNumberFormat="1" applyFont="1" applyFill="1" applyBorder="1" applyAlignment="1" applyProtection="1">
      <alignment horizontal="center" vertical="center"/>
      <protection locked="0"/>
    </xf>
    <xf numFmtId="4" fontId="0" fillId="0" borderId="0" xfId="0" quotePrefix="1" applyNumberFormat="1"/>
    <xf numFmtId="0" fontId="4" fillId="0" borderId="1" xfId="0" applyFont="1" applyBorder="1" applyAlignment="1">
      <alignment horizontal="center" vertical="center"/>
    </xf>
    <xf numFmtId="4" fontId="1" fillId="0" borderId="0" xfId="0" applyNumberFormat="1" applyFont="1"/>
    <xf numFmtId="4" fontId="4" fillId="0" borderId="0" xfId="0" applyNumberFormat="1" applyFont="1" applyAlignment="1">
      <alignment horizontal="right"/>
    </xf>
    <xf numFmtId="0" fontId="2" fillId="0" borderId="1" xfId="0" applyFont="1" applyBorder="1" applyAlignment="1">
      <alignment horizontal="center"/>
    </xf>
    <xf numFmtId="4" fontId="2" fillId="0" borderId="0" xfId="0" applyNumberFormat="1" applyFont="1" applyAlignment="1">
      <alignment horizontal="right"/>
    </xf>
    <xf numFmtId="4" fontId="0" fillId="2" borderId="1" xfId="0" applyNumberFormat="1" applyFill="1" applyBorder="1" applyProtection="1">
      <protection locked="0"/>
    </xf>
    <xf numFmtId="4" fontId="0" fillId="0" borderId="1" xfId="0" applyNumberFormat="1" applyBorder="1"/>
    <xf numFmtId="4" fontId="1" fillId="3" borderId="1" xfId="0" applyNumberFormat="1" applyFont="1" applyFill="1" applyBorder="1" applyAlignment="1">
      <alignment horizontal="right" vertical="center"/>
    </xf>
    <xf numFmtId="4" fontId="23" fillId="0" borderId="0" xfId="0" applyNumberFormat="1" applyFont="1"/>
    <xf numFmtId="4" fontId="7" fillId="0" borderId="14" xfId="0" applyNumberFormat="1" applyFont="1" applyBorder="1" applyAlignment="1">
      <alignment horizontal="center" vertical="center" wrapText="1"/>
    </xf>
    <xf numFmtId="4" fontId="0" fillId="8" borderId="1" xfId="0" applyNumberFormat="1" applyFill="1" applyBorder="1" applyProtection="1">
      <protection locked="0"/>
    </xf>
    <xf numFmtId="4" fontId="2" fillId="7" borderId="1"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25" fillId="9" borderId="1" xfId="0" applyFont="1" applyFill="1" applyBorder="1" applyAlignment="1">
      <alignment horizontal="center" vertical="center"/>
    </xf>
    <xf numFmtId="4" fontId="2" fillId="8" borderId="1" xfId="0" applyNumberFormat="1" applyFont="1" applyFill="1" applyBorder="1" applyAlignment="1" applyProtection="1">
      <alignment horizontal="center" vertical="center"/>
      <protection locked="0"/>
    </xf>
    <xf numFmtId="3" fontId="2" fillId="0" borderId="2" xfId="0" applyNumberFormat="1" applyFont="1" applyBorder="1" applyAlignment="1">
      <alignment horizontal="right"/>
    </xf>
    <xf numFmtId="4" fontId="0" fillId="0" borderId="0" xfId="0" applyNumberFormat="1" applyAlignment="1">
      <alignment wrapText="1"/>
    </xf>
    <xf numFmtId="4" fontId="2" fillId="0" borderId="0" xfId="1" applyNumberFormat="1" applyFont="1" applyAlignment="1" applyProtection="1">
      <alignment horizontal="right"/>
    </xf>
    <xf numFmtId="1" fontId="4" fillId="0" borderId="0" xfId="0" applyNumberFormat="1" applyFont="1" applyAlignment="1">
      <alignment horizontal="center" vertical="center"/>
    </xf>
    <xf numFmtId="0" fontId="4" fillId="0" borderId="0" xfId="0" applyFont="1" applyAlignment="1">
      <alignment horizontal="left"/>
    </xf>
    <xf numFmtId="0" fontId="2" fillId="0" borderId="0" xfId="0" applyFont="1" applyAlignment="1">
      <alignment horizontal="left"/>
    </xf>
    <xf numFmtId="0" fontId="4" fillId="0" borderId="0" xfId="0" applyFont="1"/>
    <xf numFmtId="0" fontId="2" fillId="0" borderId="9" xfId="0" applyFont="1" applyBorder="1" applyAlignment="1">
      <alignment horizontal="left"/>
    </xf>
    <xf numFmtId="0" fontId="0" fillId="0" borderId="0" xfId="0" applyAlignment="1">
      <alignment horizontal="left"/>
    </xf>
    <xf numFmtId="0" fontId="2" fillId="0" borderId="1" xfId="0" applyFont="1" applyBorder="1" applyAlignment="1">
      <alignment horizontal="left"/>
    </xf>
    <xf numFmtId="0" fontId="30" fillId="0" borderId="0" xfId="0" applyFont="1" applyAlignment="1">
      <alignment wrapText="1"/>
    </xf>
    <xf numFmtId="3" fontId="4" fillId="0" borderId="14" xfId="0" applyNumberFormat="1" applyFont="1" applyBorder="1"/>
    <xf numFmtId="3" fontId="2" fillId="0" borderId="34" xfId="0" applyNumberFormat="1" applyFont="1" applyBorder="1"/>
    <xf numFmtId="4" fontId="22" fillId="0" borderId="0" xfId="0" applyNumberFormat="1" applyFont="1"/>
    <xf numFmtId="3" fontId="4" fillId="0" borderId="0" xfId="0" applyNumberFormat="1" applyFont="1"/>
    <xf numFmtId="4" fontId="6" fillId="0" borderId="0" xfId="0" applyNumberFormat="1" applyFont="1"/>
    <xf numFmtId="4" fontId="31" fillId="9" borderId="1" xfId="0" applyNumberFormat="1" applyFont="1" applyFill="1" applyBorder="1"/>
    <xf numFmtId="3" fontId="31" fillId="9" borderId="1" xfId="0" applyNumberFormat="1" applyFont="1" applyFill="1" applyBorder="1"/>
    <xf numFmtId="3" fontId="0" fillId="0" borderId="0" xfId="0" applyNumberFormat="1"/>
    <xf numFmtId="4" fontId="9" fillId="0" borderId="0" xfId="0" applyNumberFormat="1" applyFont="1" applyAlignment="1">
      <alignment horizontal="right"/>
    </xf>
    <xf numFmtId="3" fontId="2" fillId="0" borderId="0" xfId="0" applyNumberFormat="1" applyFont="1"/>
    <xf numFmtId="3" fontId="4" fillId="0" borderId="0" xfId="0" applyNumberFormat="1" applyFont="1" applyAlignment="1">
      <alignment horizontal="center"/>
    </xf>
    <xf numFmtId="4" fontId="4" fillId="0" borderId="0" xfId="0" applyNumberFormat="1" applyFont="1" applyAlignment="1">
      <alignment horizontal="center"/>
    </xf>
    <xf numFmtId="4" fontId="6" fillId="0" borderId="0" xfId="0" applyNumberFormat="1" applyFont="1" applyAlignment="1">
      <alignment horizontal="right"/>
    </xf>
    <xf numFmtId="0" fontId="4" fillId="0" borderId="0" xfId="0" applyFont="1" applyAlignment="1">
      <alignment horizontal="right"/>
    </xf>
    <xf numFmtId="3" fontId="2" fillId="0" borderId="0" xfId="0" applyNumberFormat="1" applyFont="1" applyAlignment="1">
      <alignment horizontal="left"/>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 fontId="4"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1" fillId="0" borderId="9" xfId="0" applyFont="1" applyBorder="1" applyAlignment="1">
      <alignment horizontal="left"/>
    </xf>
    <xf numFmtId="0" fontId="1" fillId="0" borderId="1" xfId="0" applyFont="1" applyBorder="1" applyAlignment="1">
      <alignment horizontal="left"/>
    </xf>
    <xf numFmtId="1" fontId="4" fillId="0" borderId="4" xfId="0" applyNumberFormat="1" applyFont="1" applyBorder="1" applyAlignment="1">
      <alignment horizontal="center" vertical="center"/>
    </xf>
    <xf numFmtId="0" fontId="0" fillId="0" borderId="0" xfId="0" applyAlignment="1">
      <alignment horizontal="right"/>
    </xf>
    <xf numFmtId="4" fontId="7" fillId="0" borderId="0" xfId="0" applyNumberFormat="1" applyFont="1"/>
    <xf numFmtId="4" fontId="23" fillId="0" borderId="0" xfId="0" applyNumberFormat="1" applyFont="1" applyAlignment="1">
      <alignment horizontal="left"/>
    </xf>
    <xf numFmtId="0" fontId="3" fillId="0" borderId="0" xfId="0" applyFont="1"/>
    <xf numFmtId="4" fontId="5" fillId="0" borderId="0" xfId="0" applyNumberFormat="1" applyFont="1" applyAlignment="1">
      <alignment horizontal="right"/>
    </xf>
    <xf numFmtId="0" fontId="5" fillId="0" borderId="0" xfId="0" applyFont="1"/>
    <xf numFmtId="4" fontId="3" fillId="0" borderId="0" xfId="0" applyNumberFormat="1" applyFont="1" applyAlignment="1">
      <alignment wrapText="1"/>
    </xf>
    <xf numFmtId="0" fontId="2" fillId="0" borderId="0" xfId="0" applyFont="1" applyAlignment="1">
      <alignment wrapText="1"/>
    </xf>
    <xf numFmtId="0" fontId="32" fillId="0" borderId="0" xfId="0" applyFont="1"/>
    <xf numFmtId="4" fontId="0" fillId="0" borderId="0" xfId="0" applyNumberFormat="1" applyAlignment="1">
      <alignment horizontal="right"/>
    </xf>
    <xf numFmtId="4" fontId="7" fillId="0" borderId="0" xfId="0" applyNumberFormat="1" applyFont="1" applyAlignment="1">
      <alignment wrapText="1"/>
    </xf>
    <xf numFmtId="4" fontId="7" fillId="0" borderId="0" xfId="0" applyNumberFormat="1" applyFont="1" applyAlignment="1">
      <alignment horizontal="center" vertical="center" wrapText="1"/>
    </xf>
    <xf numFmtId="0" fontId="7" fillId="0" borderId="0" xfId="0" applyFont="1"/>
    <xf numFmtId="4" fontId="2" fillId="0" borderId="4" xfId="0" applyNumberFormat="1" applyFont="1" applyBorder="1"/>
    <xf numFmtId="0" fontId="3" fillId="0" borderId="0" xfId="0" applyFont="1" applyAlignment="1">
      <alignment horizontal="center"/>
    </xf>
    <xf numFmtId="4" fontId="1" fillId="0" borderId="1" xfId="0" applyNumberFormat="1" applyFont="1" applyBorder="1" applyAlignment="1">
      <alignment vertical="center" wrapText="1"/>
    </xf>
    <xf numFmtId="4" fontId="2" fillId="0" borderId="0" xfId="0" applyNumberFormat="1" applyFont="1" applyAlignment="1">
      <alignment horizontal="left"/>
    </xf>
    <xf numFmtId="0" fontId="2" fillId="0" borderId="0" xfId="0" applyFont="1"/>
    <xf numFmtId="4" fontId="1" fillId="0" borderId="0" xfId="0" applyNumberFormat="1" applyFont="1" applyAlignment="1">
      <alignment horizontal="right"/>
    </xf>
    <xf numFmtId="0" fontId="2" fillId="0" borderId="0" xfId="0" applyFont="1" applyAlignment="1">
      <alignment horizontal="center"/>
    </xf>
    <xf numFmtId="0" fontId="1" fillId="0" borderId="0" xfId="0" applyFont="1"/>
    <xf numFmtId="0" fontId="0" fillId="2" borderId="0" xfId="0" applyFill="1" applyAlignment="1" applyProtection="1">
      <alignment horizontal="center" vertical="center"/>
      <protection locked="0"/>
    </xf>
    <xf numFmtId="0" fontId="1" fillId="8" borderId="1" xfId="0" applyFont="1" applyFill="1" applyBorder="1" applyAlignment="1" applyProtection="1">
      <alignment horizontal="center"/>
      <protection locked="0"/>
    </xf>
    <xf numFmtId="0" fontId="1" fillId="7" borderId="1" xfId="0" applyFont="1" applyFill="1" applyBorder="1" applyAlignment="1" applyProtection="1">
      <alignment horizontal="center"/>
      <protection locked="0"/>
    </xf>
    <xf numFmtId="0" fontId="4"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4" fillId="10" borderId="0" xfId="0" applyFont="1" applyFill="1" applyAlignment="1">
      <alignment horizontal="center" vertical="center"/>
    </xf>
    <xf numFmtId="4" fontId="1" fillId="10" borderId="1" xfId="0" applyNumberFormat="1" applyFont="1" applyFill="1" applyBorder="1" applyAlignment="1">
      <alignment horizontal="right" vertical="center"/>
    </xf>
    <xf numFmtId="0" fontId="1" fillId="0" borderId="0" xfId="0" applyFont="1" applyAlignment="1">
      <alignment horizontal="center" vertical="center"/>
    </xf>
    <xf numFmtId="4" fontId="1" fillId="8" borderId="1" xfId="0" applyNumberFormat="1" applyFont="1" applyFill="1" applyBorder="1" applyProtection="1">
      <protection locked="0"/>
    </xf>
    <xf numFmtId="0" fontId="0" fillId="0" borderId="0" xfId="0" applyAlignment="1">
      <alignment wrapText="1"/>
    </xf>
    <xf numFmtId="4" fontId="1" fillId="0" borderId="13" xfId="0" applyNumberFormat="1" applyFont="1" applyBorder="1"/>
    <xf numFmtId="4" fontId="0" fillId="0" borderId="7" xfId="0" applyNumberFormat="1" applyBorder="1"/>
    <xf numFmtId="3" fontId="2" fillId="0" borderId="1" xfId="0" applyNumberFormat="1" applyFont="1" applyBorder="1" applyAlignment="1">
      <alignment horizontal="center" vertical="center" wrapText="1"/>
    </xf>
    <xf numFmtId="4" fontId="2" fillId="0" borderId="0" xfId="0" applyNumberFormat="1" applyFont="1" applyAlignment="1">
      <alignment vertical="center" wrapText="1"/>
    </xf>
    <xf numFmtId="4" fontId="1" fillId="7" borderId="1" xfId="0" applyNumberFormat="1" applyFont="1" applyFill="1" applyBorder="1" applyProtection="1">
      <protection locked="0"/>
    </xf>
    <xf numFmtId="0" fontId="0" fillId="10" borderId="0" xfId="0" applyFill="1" applyAlignment="1">
      <alignment horizontal="center" vertical="center"/>
    </xf>
    <xf numFmtId="4" fontId="30" fillId="0" borderId="0" xfId="0" applyNumberFormat="1" applyFont="1" applyAlignment="1">
      <alignment horizontal="left" vertical="center"/>
    </xf>
    <xf numFmtId="4" fontId="30" fillId="0" borderId="0" xfId="0" applyNumberFormat="1" applyFont="1"/>
    <xf numFmtId="4" fontId="3" fillId="10" borderId="0" xfId="0" applyNumberFormat="1" applyFont="1" applyFill="1"/>
    <xf numFmtId="0" fontId="0" fillId="10" borderId="0" xfId="0" applyFill="1"/>
    <xf numFmtId="4" fontId="1" fillId="10" borderId="0" xfId="0" applyNumberFormat="1" applyFont="1" applyFill="1"/>
    <xf numFmtId="4" fontId="2" fillId="0" borderId="1" xfId="0" applyNumberFormat="1" applyFont="1" applyBorder="1" applyAlignment="1">
      <alignment horizontal="center" vertical="center"/>
    </xf>
    <xf numFmtId="4" fontId="2" fillId="0" borderId="1" xfId="0" applyNumberFormat="1" applyFont="1" applyBorder="1"/>
    <xf numFmtId="4" fontId="0" fillId="10" borderId="0" xfId="0" applyNumberFormat="1" applyFill="1"/>
    <xf numFmtId="4" fontId="3" fillId="0" borderId="9" xfId="0" applyNumberFormat="1" applyFont="1" applyBorder="1"/>
    <xf numFmtId="4" fontId="0" fillId="0" borderId="11" xfId="0" applyNumberFormat="1" applyBorder="1"/>
    <xf numFmtId="3" fontId="1" fillId="0" borderId="9" xfId="0" applyNumberFormat="1" applyFont="1" applyBorder="1" applyAlignment="1">
      <alignment horizontal="center" vertical="center" wrapText="1"/>
    </xf>
    <xf numFmtId="4" fontId="0" fillId="10" borderId="1" xfId="0" applyNumberFormat="1" applyFill="1" applyBorder="1"/>
    <xf numFmtId="43" fontId="0" fillId="0" borderId="0" xfId="1" applyFont="1" applyAlignment="1" applyProtection="1"/>
    <xf numFmtId="43" fontId="0" fillId="0" borderId="0" xfId="1" applyFont="1" applyBorder="1" applyAlignment="1" applyProtection="1"/>
    <xf numFmtId="4" fontId="0" fillId="0" borderId="0" xfId="1" applyNumberFormat="1" applyFont="1" applyAlignment="1" applyProtection="1"/>
    <xf numFmtId="4" fontId="0" fillId="0" borderId="0" xfId="1" applyNumberFormat="1" applyFont="1" applyFill="1" applyAlignment="1" applyProtection="1"/>
    <xf numFmtId="4" fontId="24" fillId="0" borderId="0" xfId="0" applyNumberFormat="1" applyFont="1"/>
    <xf numFmtId="4" fontId="0" fillId="0" borderId="0" xfId="1" applyNumberFormat="1" applyFont="1" applyFill="1" applyBorder="1" applyAlignment="1" applyProtection="1"/>
    <xf numFmtId="4" fontId="0" fillId="0" borderId="0" xfId="1" applyNumberFormat="1" applyFont="1" applyBorder="1" applyAlignment="1" applyProtection="1"/>
    <xf numFmtId="4" fontId="0" fillId="0" borderId="12" xfId="1" applyNumberFormat="1" applyFont="1" applyBorder="1" applyAlignment="1" applyProtection="1"/>
    <xf numFmtId="4" fontId="2" fillId="10" borderId="1" xfId="1" applyNumberFormat="1" applyFont="1" applyFill="1" applyBorder="1" applyAlignment="1" applyProtection="1"/>
    <xf numFmtId="10" fontId="0" fillId="0" borderId="0" xfId="0" applyNumberFormat="1"/>
    <xf numFmtId="4" fontId="2" fillId="0" borderId="1" xfId="1" applyNumberFormat="1" applyFont="1" applyBorder="1" applyAlignment="1" applyProtection="1"/>
    <xf numFmtId="0" fontId="21" fillId="0" borderId="0" xfId="0" applyFont="1"/>
    <xf numFmtId="0" fontId="4" fillId="0" borderId="12" xfId="0" applyFont="1" applyBorder="1" applyAlignment="1">
      <alignment horizontal="left"/>
    </xf>
    <xf numFmtId="4" fontId="2" fillId="0" borderId="12" xfId="1" applyNumberFormat="1" applyFont="1" applyBorder="1" applyAlignment="1" applyProtection="1"/>
    <xf numFmtId="0" fontId="2" fillId="0" borderId="1" xfId="0" applyFont="1" applyBorder="1"/>
    <xf numFmtId="10" fontId="2" fillId="0" borderId="1" xfId="6" applyNumberFormat="1" applyFont="1" applyBorder="1" applyAlignment="1" applyProtection="1"/>
    <xf numFmtId="4" fontId="4" fillId="0" borderId="0" xfId="0" applyNumberFormat="1" applyFont="1" applyAlignment="1">
      <alignment horizontal="center" vertical="top"/>
    </xf>
    <xf numFmtId="4" fontId="4" fillId="0" borderId="12" xfId="1" applyNumberFormat="1" applyFont="1" applyBorder="1" applyAlignment="1" applyProtection="1"/>
    <xf numFmtId="0" fontId="4" fillId="0" borderId="12" xfId="0" applyFont="1" applyBorder="1"/>
    <xf numFmtId="0" fontId="0" fillId="0" borderId="1" xfId="0" applyBorder="1"/>
    <xf numFmtId="4" fontId="0" fillId="0" borderId="9" xfId="0" applyNumberFormat="1" applyBorder="1" applyAlignment="1">
      <alignment horizontal="center" vertical="center"/>
    </xf>
    <xf numFmtId="3" fontId="1" fillId="0" borderId="0" xfId="0" applyNumberFormat="1" applyFont="1"/>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20" xfId="0" applyNumberFormat="1" applyFont="1" applyBorder="1" applyAlignment="1">
      <alignment horizontal="center" vertical="center"/>
    </xf>
    <xf numFmtId="4" fontId="1" fillId="0" borderId="0" xfId="0" applyNumberFormat="1" applyFont="1" applyAlignment="1">
      <alignment horizontal="center" vertical="center" wrapText="1"/>
    </xf>
    <xf numFmtId="4" fontId="1" fillId="0" borderId="10" xfId="0" applyNumberFormat="1" applyFont="1" applyBorder="1"/>
    <xf numFmtId="3" fontId="1" fillId="0" borderId="15" xfId="0" applyNumberFormat="1" applyFont="1" applyBorder="1"/>
    <xf numFmtId="3" fontId="1" fillId="0" borderId="23" xfId="0" applyNumberFormat="1" applyFont="1" applyBorder="1"/>
    <xf numFmtId="4" fontId="1" fillId="0" borderId="2" xfId="0" applyNumberFormat="1" applyFont="1" applyBorder="1"/>
    <xf numFmtId="4" fontId="1" fillId="0" borderId="23" xfId="0" applyNumberFormat="1" applyFont="1" applyBorder="1"/>
    <xf numFmtId="4" fontId="1" fillId="0" borderId="19" xfId="0" applyNumberFormat="1" applyFont="1" applyBorder="1"/>
    <xf numFmtId="3" fontId="1" fillId="0" borderId="16" xfId="0" applyNumberFormat="1" applyFont="1" applyBorder="1"/>
    <xf numFmtId="4" fontId="1" fillId="0" borderId="16" xfId="0" applyNumberFormat="1" applyFont="1" applyBorder="1"/>
    <xf numFmtId="4" fontId="1" fillId="0" borderId="27" xfId="0" applyNumberFormat="1" applyFont="1" applyBorder="1"/>
    <xf numFmtId="3" fontId="1" fillId="0" borderId="4" xfId="0" applyNumberFormat="1" applyFont="1" applyBorder="1"/>
    <xf numFmtId="0" fontId="23" fillId="0" borderId="0" xfId="0" applyFont="1"/>
    <xf numFmtId="0" fontId="1" fillId="0" borderId="10" xfId="0" applyFont="1" applyBorder="1"/>
    <xf numFmtId="0" fontId="1" fillId="0" borderId="13" xfId="0" applyFont="1" applyBorder="1"/>
    <xf numFmtId="4" fontId="2" fillId="10" borderId="17" xfId="0" applyNumberFormat="1" applyFont="1" applyFill="1" applyBorder="1" applyAlignment="1">
      <alignment vertical="center" wrapText="1"/>
    </xf>
    <xf numFmtId="4" fontId="2" fillId="10" borderId="1" xfId="0" applyNumberFormat="1" applyFont="1" applyFill="1" applyBorder="1" applyAlignment="1">
      <alignment vertical="center" wrapText="1"/>
    </xf>
    <xf numFmtId="0" fontId="2" fillId="10" borderId="9" xfId="0" applyFont="1" applyFill="1" applyBorder="1" applyAlignment="1">
      <alignment horizontal="left" vertical="center" wrapText="1"/>
    </xf>
    <xf numFmtId="3" fontId="2" fillId="10" borderId="9" xfId="0" applyNumberFormat="1" applyFont="1" applyFill="1" applyBorder="1" applyAlignment="1">
      <alignment vertical="center" wrapText="1"/>
    </xf>
    <xf numFmtId="4" fontId="2" fillId="10" borderId="26" xfId="0" applyNumberFormat="1" applyFont="1" applyFill="1" applyBorder="1" applyAlignment="1">
      <alignment vertical="center" wrapText="1"/>
    </xf>
    <xf numFmtId="4" fontId="2" fillId="10" borderId="18" xfId="0" applyNumberFormat="1" applyFont="1" applyFill="1" applyBorder="1" applyAlignment="1">
      <alignment vertical="center" wrapText="1"/>
    </xf>
    <xf numFmtId="4" fontId="2" fillId="10" borderId="9" xfId="0" applyNumberFormat="1" applyFont="1" applyFill="1" applyBorder="1" applyAlignment="1">
      <alignment vertical="center" wrapText="1"/>
    </xf>
    <xf numFmtId="0" fontId="1" fillId="0" borderId="14" xfId="0" applyFont="1" applyBorder="1"/>
    <xf numFmtId="3" fontId="1" fillId="0" borderId="6" xfId="0" applyNumberFormat="1" applyFont="1" applyBorder="1"/>
    <xf numFmtId="3" fontId="1" fillId="0" borderId="20" xfId="0" applyNumberFormat="1" applyFont="1" applyBorder="1"/>
    <xf numFmtId="4" fontId="1" fillId="0" borderId="7" xfId="0" applyNumberFormat="1" applyFont="1" applyBorder="1"/>
    <xf numFmtId="4" fontId="1" fillId="0" borderId="20" xfId="0" applyNumberFormat="1" applyFont="1" applyBorder="1"/>
    <xf numFmtId="4" fontId="1" fillId="0" borderId="41" xfId="0" applyNumberFormat="1" applyFont="1" applyBorder="1"/>
    <xf numFmtId="4" fontId="1" fillId="0" borderId="14" xfId="0" applyNumberFormat="1" applyFont="1" applyBorder="1"/>
    <xf numFmtId="0" fontId="3" fillId="0" borderId="0" xfId="0" applyFont="1" applyAlignment="1">
      <alignment horizontal="left"/>
    </xf>
    <xf numFmtId="3" fontId="1" fillId="0" borderId="0" xfId="0" applyNumberFormat="1" applyFont="1" applyAlignment="1">
      <alignment horizontal="center" vertical="center" wrapText="1"/>
    </xf>
    <xf numFmtId="4" fontId="20" fillId="0" borderId="0" xfId="0" applyNumberFormat="1" applyFont="1" applyAlignment="1">
      <alignment vertical="center"/>
    </xf>
    <xf numFmtId="0" fontId="21" fillId="0" borderId="0" xfId="0" applyFont="1" applyAlignment="1">
      <alignment vertical="center"/>
    </xf>
    <xf numFmtId="4" fontId="21" fillId="0" borderId="0" xfId="0" applyNumberFormat="1" applyFont="1" applyAlignment="1">
      <alignment vertical="center"/>
    </xf>
    <xf numFmtId="4" fontId="1" fillId="0" borderId="0" xfId="0" applyNumberFormat="1" applyFont="1" applyAlignment="1">
      <alignment vertical="center" wrapText="1"/>
    </xf>
    <xf numFmtId="4" fontId="2" fillId="0" borderId="0" xfId="0" applyNumberFormat="1" applyFont="1" applyAlignment="1">
      <alignment horizontal="center" vertical="center"/>
    </xf>
    <xf numFmtId="4" fontId="2" fillId="0" borderId="2" xfId="0" applyNumberFormat="1" applyFont="1" applyBorder="1" applyAlignment="1">
      <alignment horizontal="center" vertical="center"/>
    </xf>
    <xf numFmtId="0" fontId="1" fillId="0" borderId="9" xfId="0" quotePrefix="1" applyFont="1" applyBorder="1" applyAlignment="1">
      <alignment horizontal="left"/>
    </xf>
    <xf numFmtId="4" fontId="3" fillId="0" borderId="2" xfId="0" applyNumberFormat="1" applyFont="1" applyBorder="1" applyAlignment="1">
      <alignment vertical="center" wrapText="1"/>
    </xf>
    <xf numFmtId="0" fontId="2" fillId="0" borderId="4" xfId="0" applyFont="1" applyBorder="1" applyAlignment="1">
      <alignment horizontal="center"/>
    </xf>
    <xf numFmtId="4" fontId="2" fillId="0" borderId="4" xfId="0" applyNumberFormat="1" applyFont="1" applyBorder="1" applyAlignment="1">
      <alignment horizontal="center" vertical="center" wrapText="1"/>
    </xf>
    <xf numFmtId="14" fontId="0" fillId="8" borderId="1" xfId="0" applyNumberFormat="1" applyFill="1" applyBorder="1" applyProtection="1">
      <protection locked="0"/>
    </xf>
    <xf numFmtId="14" fontId="0" fillId="7" borderId="1" xfId="0" applyNumberFormat="1" applyFill="1" applyBorder="1" applyProtection="1">
      <protection locked="0"/>
    </xf>
    <xf numFmtId="164" fontId="0" fillId="0" borderId="4" xfId="0" applyNumberFormat="1" applyBorder="1"/>
    <xf numFmtId="0" fontId="0" fillId="0" borderId="2" xfId="0" applyBorder="1" applyAlignment="1">
      <alignment wrapText="1"/>
    </xf>
    <xf numFmtId="4" fontId="32" fillId="0" borderId="10" xfId="0" applyNumberFormat="1" applyFont="1" applyBorder="1" applyAlignment="1">
      <alignment horizontal="center"/>
    </xf>
    <xf numFmtId="4" fontId="1" fillId="0" borderId="14" xfId="0" applyNumberFormat="1" applyFont="1" applyBorder="1" applyAlignment="1">
      <alignment vertical="top" wrapText="1"/>
    </xf>
    <xf numFmtId="4" fontId="30" fillId="0" borderId="1" xfId="0" applyNumberFormat="1" applyFont="1" applyBorder="1" applyAlignment="1">
      <alignment horizontal="center" vertical="center" wrapText="1"/>
    </xf>
    <xf numFmtId="4" fontId="30" fillId="0" borderId="7" xfId="0" applyNumberFormat="1" applyFont="1" applyBorder="1" applyAlignment="1">
      <alignment horizontal="right"/>
    </xf>
    <xf numFmtId="4" fontId="1" fillId="0" borderId="9" xfId="0" applyNumberFormat="1" applyFont="1" applyBorder="1" applyAlignment="1">
      <alignment wrapText="1"/>
    </xf>
    <xf numFmtId="0" fontId="0" fillId="0" borderId="11" xfId="0" applyBorder="1" applyAlignment="1">
      <alignment wrapText="1"/>
    </xf>
    <xf numFmtId="0" fontId="1" fillId="10" borderId="1" xfId="0" applyFont="1" applyFill="1" applyBorder="1" applyAlignment="1">
      <alignment horizontal="center"/>
    </xf>
    <xf numFmtId="0" fontId="1" fillId="10" borderId="1" xfId="0" applyFont="1" applyFill="1" applyBorder="1"/>
    <xf numFmtId="4" fontId="1" fillId="0" borderId="0" xfId="10" applyNumberFormat="1"/>
    <xf numFmtId="3" fontId="3" fillId="0" borderId="0" xfId="0" applyNumberFormat="1" applyFont="1"/>
    <xf numFmtId="0" fontId="7" fillId="0" borderId="1" xfId="0" applyFont="1" applyBorder="1" applyAlignment="1">
      <alignment horizontal="center" vertical="center" wrapText="1"/>
    </xf>
    <xf numFmtId="0" fontId="7" fillId="10" borderId="1" xfId="0" applyFont="1" applyFill="1" applyBorder="1" applyAlignment="1">
      <alignment horizontal="center" vertical="center" wrapText="1"/>
    </xf>
    <xf numFmtId="10" fontId="7" fillId="10" borderId="1" xfId="0" applyNumberFormat="1" applyFont="1" applyFill="1" applyBorder="1" applyAlignment="1">
      <alignment horizontal="center" vertical="center"/>
    </xf>
    <xf numFmtId="0" fontId="1" fillId="0" borderId="0" xfId="10"/>
    <xf numFmtId="4" fontId="1" fillId="0" borderId="0" xfId="1" applyNumberFormat="1" applyFont="1" applyBorder="1" applyAlignment="1" applyProtection="1"/>
    <xf numFmtId="4" fontId="1" fillId="0" borderId="0" xfId="1" applyNumberFormat="1" applyFont="1" applyAlignment="1" applyProtection="1"/>
    <xf numFmtId="166" fontId="1" fillId="8" borderId="1" xfId="1" applyNumberFormat="1" applyFont="1" applyFill="1" applyBorder="1" applyAlignment="1" applyProtection="1">
      <protection locked="0"/>
    </xf>
    <xf numFmtId="3" fontId="1" fillId="7" borderId="1" xfId="1" applyNumberFormat="1" applyFont="1" applyFill="1" applyBorder="1" applyAlignment="1" applyProtection="1">
      <protection locked="0"/>
    </xf>
    <xf numFmtId="4" fontId="1" fillId="0" borderId="1" xfId="1" applyNumberFormat="1" applyFont="1" applyBorder="1" applyAlignment="1" applyProtection="1"/>
    <xf numFmtId="4" fontId="1" fillId="8" borderId="1" xfId="1" applyNumberFormat="1" applyFont="1" applyFill="1" applyBorder="1" applyAlignment="1" applyProtection="1">
      <protection locked="0"/>
    </xf>
    <xf numFmtId="4" fontId="1" fillId="7" borderId="1" xfId="1" applyNumberFormat="1" applyFont="1" applyFill="1" applyBorder="1" applyAlignment="1" applyProtection="1">
      <protection locked="0"/>
    </xf>
    <xf numFmtId="10" fontId="1" fillId="0" borderId="1" xfId="6" applyNumberFormat="1" applyFont="1" applyBorder="1" applyAlignment="1" applyProtection="1"/>
    <xf numFmtId="4" fontId="1" fillId="0" borderId="0" xfId="0" applyNumberFormat="1" applyFont="1" applyAlignment="1">
      <alignment wrapText="1"/>
    </xf>
    <xf numFmtId="0" fontId="1" fillId="0" borderId="0" xfId="0" applyFont="1" applyAlignment="1">
      <alignment wrapText="1"/>
    </xf>
    <xf numFmtId="4" fontId="0" fillId="0" borderId="0" xfId="0" applyNumberFormat="1" applyAlignment="1">
      <alignment horizontal="center" vertical="center"/>
    </xf>
    <xf numFmtId="4" fontId="0" fillId="0" borderId="13" xfId="0" applyNumberFormat="1" applyBorder="1"/>
    <xf numFmtId="4" fontId="2" fillId="0" borderId="13" xfId="0" applyNumberFormat="1" applyFont="1" applyBorder="1"/>
    <xf numFmtId="4" fontId="2" fillId="0" borderId="13" xfId="0" quotePrefix="1" applyNumberFormat="1" applyFont="1" applyBorder="1"/>
    <xf numFmtId="0" fontId="1" fillId="8" borderId="13" xfId="0" applyFont="1" applyFill="1" applyBorder="1" applyAlignment="1" applyProtection="1">
      <alignment horizontal="left"/>
      <protection locked="0"/>
    </xf>
    <xf numFmtId="4" fontId="0" fillId="8" borderId="13" xfId="0" applyNumberFormat="1" applyFill="1" applyBorder="1" applyProtection="1">
      <protection locked="0"/>
    </xf>
    <xf numFmtId="0" fontId="0" fillId="7" borderId="13" xfId="0" applyFill="1" applyBorder="1" applyAlignment="1" applyProtection="1">
      <alignment horizontal="left"/>
      <protection locked="0"/>
    </xf>
    <xf numFmtId="4" fontId="0" fillId="7" borderId="13" xfId="0" applyNumberFormat="1" applyFill="1" applyBorder="1" applyProtection="1">
      <protection locked="0"/>
    </xf>
    <xf numFmtId="0" fontId="0" fillId="8" borderId="13" xfId="0" applyFill="1" applyBorder="1" applyAlignment="1" applyProtection="1">
      <alignment horizontal="left"/>
      <protection locked="0"/>
    </xf>
    <xf numFmtId="0" fontId="1" fillId="7" borderId="13" xfId="0" applyFont="1" applyFill="1" applyBorder="1" applyAlignment="1" applyProtection="1">
      <alignment horizontal="left"/>
      <protection locked="0"/>
    </xf>
    <xf numFmtId="4" fontId="31" fillId="9" borderId="1" xfId="0" applyNumberFormat="1" applyFont="1" applyFill="1" applyBorder="1" applyAlignment="1">
      <alignment vertical="center" wrapText="1"/>
    </xf>
    <xf numFmtId="4" fontId="1" fillId="0" borderId="1" xfId="0" applyNumberFormat="1" applyFont="1" applyBorder="1" applyAlignment="1">
      <alignment horizontal="center" vertical="center" wrapText="1"/>
    </xf>
    <xf numFmtId="3" fontId="0" fillId="0" borderId="10" xfId="0" applyNumberFormat="1" applyBorder="1"/>
    <xf numFmtId="0" fontId="0" fillId="0" borderId="0" xfId="0" applyAlignment="1">
      <alignment vertical="center"/>
    </xf>
    <xf numFmtId="0" fontId="33" fillId="11" borderId="42" xfId="10" applyFont="1" applyFill="1" applyBorder="1"/>
    <xf numFmtId="0" fontId="1" fillId="0" borderId="0" xfId="10" applyAlignment="1">
      <alignment vertical="top"/>
    </xf>
    <xf numFmtId="0" fontId="34" fillId="0" borderId="0" xfId="10" quotePrefix="1" applyFont="1"/>
    <xf numFmtId="4" fontId="1" fillId="0" borderId="0" xfId="10" applyNumberFormat="1" applyAlignment="1">
      <alignment vertical="top"/>
    </xf>
    <xf numFmtId="0" fontId="1" fillId="0" borderId="0" xfId="10" quotePrefix="1" applyAlignment="1">
      <alignment vertical="top"/>
    </xf>
    <xf numFmtId="0" fontId="1" fillId="0" borderId="5" xfId="10" applyBorder="1" applyAlignment="1">
      <alignment vertical="top"/>
    </xf>
    <xf numFmtId="0" fontId="1" fillId="0" borderId="0" xfId="10" quotePrefix="1"/>
    <xf numFmtId="49" fontId="1" fillId="0" borderId="0" xfId="10" applyNumberFormat="1" applyAlignment="1">
      <alignment vertical="top"/>
    </xf>
    <xf numFmtId="0" fontId="0" fillId="0" borderId="7" xfId="0" applyBorder="1"/>
    <xf numFmtId="0" fontId="1" fillId="8" borderId="0" xfId="0" applyFont="1" applyFill="1" applyAlignment="1" applyProtection="1">
      <alignment horizontal="left" vertical="center"/>
      <protection locked="0"/>
    </xf>
    <xf numFmtId="0" fontId="0" fillId="0" borderId="11" xfId="0" applyBorder="1"/>
    <xf numFmtId="0" fontId="0" fillId="0" borderId="12" xfId="0" applyBorder="1"/>
    <xf numFmtId="3" fontId="1" fillId="7" borderId="1" xfId="0" applyNumberFormat="1" applyFont="1" applyFill="1" applyBorder="1" applyAlignment="1" applyProtection="1">
      <alignment horizontal="right"/>
      <protection locked="0"/>
    </xf>
    <xf numFmtId="4" fontId="1" fillId="7" borderId="1" xfId="0" applyNumberFormat="1" applyFont="1" applyFill="1" applyBorder="1" applyAlignment="1" applyProtection="1">
      <alignment horizontal="right"/>
      <protection locked="0"/>
    </xf>
    <xf numFmtId="3" fontId="1" fillId="8" borderId="1" xfId="0" applyNumberFormat="1" applyFont="1" applyFill="1" applyBorder="1" applyAlignment="1" applyProtection="1">
      <alignment horizontal="right"/>
      <protection locked="0"/>
    </xf>
    <xf numFmtId="0" fontId="1" fillId="8" borderId="1" xfId="0" applyFont="1" applyFill="1" applyBorder="1" applyAlignment="1" applyProtection="1">
      <alignment horizontal="right"/>
      <protection locked="0"/>
    </xf>
    <xf numFmtId="4" fontId="1" fillId="8" borderId="1" xfId="0" applyNumberFormat="1" applyFont="1" applyFill="1" applyBorder="1" applyAlignment="1" applyProtection="1">
      <alignment horizontal="right" wrapText="1"/>
      <protection locked="0"/>
    </xf>
    <xf numFmtId="3" fontId="1" fillId="8" borderId="1" xfId="0" applyNumberFormat="1" applyFont="1" applyFill="1" applyBorder="1" applyAlignment="1" applyProtection="1">
      <alignment horizontal="right" wrapText="1"/>
      <protection locked="0"/>
    </xf>
    <xf numFmtId="0" fontId="1" fillId="7" borderId="1" xfId="0" applyFont="1" applyFill="1" applyBorder="1" applyAlignment="1" applyProtection="1">
      <alignment horizontal="right"/>
      <protection locked="0"/>
    </xf>
    <xf numFmtId="4" fontId="1" fillId="7" borderId="1" xfId="0" applyNumberFormat="1" applyFont="1" applyFill="1" applyBorder="1" applyAlignment="1" applyProtection="1">
      <alignment horizontal="right" wrapText="1"/>
      <protection locked="0"/>
    </xf>
    <xf numFmtId="3" fontId="1" fillId="7" borderId="1" xfId="0" applyNumberFormat="1" applyFont="1" applyFill="1" applyBorder="1" applyAlignment="1" applyProtection="1">
      <alignment horizontal="right" wrapText="1"/>
      <protection locked="0"/>
    </xf>
    <xf numFmtId="4" fontId="4" fillId="7" borderId="1" xfId="0" applyNumberFormat="1" applyFont="1" applyFill="1" applyBorder="1" applyAlignment="1" applyProtection="1">
      <alignment horizontal="right"/>
      <protection locked="0"/>
    </xf>
    <xf numFmtId="3" fontId="4" fillId="7" borderId="1" xfId="0" applyNumberFormat="1" applyFont="1" applyFill="1" applyBorder="1" applyAlignment="1" applyProtection="1">
      <alignment horizontal="right"/>
      <protection locked="0"/>
    </xf>
    <xf numFmtId="4" fontId="4" fillId="8" borderId="1" xfId="0" applyNumberFormat="1" applyFont="1" applyFill="1" applyBorder="1" applyAlignment="1" applyProtection="1">
      <alignment horizontal="right"/>
      <protection locked="0"/>
    </xf>
    <xf numFmtId="4" fontId="0" fillId="2" borderId="1" xfId="0" applyNumberFormat="1" applyFill="1" applyBorder="1" applyAlignment="1" applyProtection="1">
      <alignment horizontal="right"/>
      <protection locked="0"/>
    </xf>
    <xf numFmtId="4" fontId="0" fillId="7" borderId="1" xfId="0" applyNumberFormat="1" applyFill="1" applyBorder="1" applyAlignment="1" applyProtection="1">
      <alignment horizontal="right"/>
      <protection locked="0"/>
    </xf>
    <xf numFmtId="3" fontId="2" fillId="0" borderId="2" xfId="0" applyNumberFormat="1" applyFont="1" applyBorder="1"/>
    <xf numFmtId="0" fontId="23" fillId="0" borderId="4" xfId="0" applyFont="1" applyBorder="1" applyAlignment="1">
      <alignment wrapText="1"/>
    </xf>
    <xf numFmtId="3" fontId="7" fillId="0" borderId="15" xfId="0" applyNumberFormat="1" applyFont="1" applyBorder="1"/>
    <xf numFmtId="3" fontId="7" fillId="0" borderId="10" xfId="0" applyNumberFormat="1" applyFont="1" applyBorder="1"/>
    <xf numFmtId="3" fontId="4" fillId="0" borderId="10" xfId="0" applyNumberFormat="1" applyFont="1" applyBorder="1"/>
    <xf numFmtId="3" fontId="7" fillId="0" borderId="10" xfId="0" applyNumberFormat="1" applyFont="1" applyBorder="1" applyAlignment="1">
      <alignment horizontal="center"/>
    </xf>
    <xf numFmtId="3" fontId="8" fillId="0" borderId="15" xfId="0" applyNumberFormat="1" applyFont="1" applyBorder="1"/>
    <xf numFmtId="3" fontId="4" fillId="0" borderId="15" xfId="0" applyNumberFormat="1" applyFont="1" applyBorder="1"/>
    <xf numFmtId="3" fontId="7" fillId="0" borderId="3" xfId="0" applyNumberFormat="1" applyFont="1" applyBorder="1" applyAlignment="1">
      <alignment horizontal="center"/>
    </xf>
    <xf numFmtId="3" fontId="7" fillId="0" borderId="0" xfId="0" applyNumberFormat="1" applyFont="1" applyAlignment="1">
      <alignment horizontal="center"/>
    </xf>
    <xf numFmtId="3" fontId="7" fillId="0" borderId="13" xfId="0" applyNumberFormat="1" applyFont="1" applyBorder="1" applyAlignment="1">
      <alignment horizontal="center"/>
    </xf>
    <xf numFmtId="3" fontId="7" fillId="0" borderId="0" xfId="0" applyNumberFormat="1" applyFont="1"/>
    <xf numFmtId="3" fontId="4" fillId="0" borderId="4" xfId="0" applyNumberFormat="1" applyFont="1" applyBorder="1"/>
    <xf numFmtId="3" fontId="4" fillId="0" borderId="13" xfId="0" applyNumberFormat="1" applyFont="1" applyBorder="1"/>
    <xf numFmtId="3" fontId="7" fillId="0" borderId="5" xfId="0" applyNumberFormat="1" applyFont="1" applyBorder="1" applyAlignment="1">
      <alignment horizontal="center"/>
    </xf>
    <xf numFmtId="3" fontId="0" fillId="0" borderId="13" xfId="0" applyNumberFormat="1" applyBorder="1"/>
    <xf numFmtId="3" fontId="4" fillId="0" borderId="6" xfId="0" applyNumberFormat="1" applyFont="1" applyBorder="1"/>
    <xf numFmtId="3" fontId="7" fillId="0" borderId="1" xfId="0" applyNumberFormat="1" applyFont="1" applyBorder="1" applyAlignment="1">
      <alignment horizontal="center"/>
    </xf>
    <xf numFmtId="3" fontId="7" fillId="0" borderId="12" xfId="0" applyNumberFormat="1" applyFont="1" applyBorder="1"/>
    <xf numFmtId="3" fontId="2" fillId="0" borderId="14" xfId="0" applyNumberFormat="1" applyFont="1" applyBorder="1"/>
    <xf numFmtId="3" fontId="4" fillId="0" borderId="1" xfId="0" applyNumberFormat="1" applyFont="1" applyBorder="1"/>
    <xf numFmtId="3" fontId="4" fillId="0" borderId="9" xfId="0" applyNumberFormat="1" applyFont="1" applyBorder="1"/>
    <xf numFmtId="3" fontId="7" fillId="0" borderId="39" xfId="0" applyNumberFormat="1" applyFont="1" applyBorder="1" applyAlignment="1">
      <alignment horizontal="center"/>
    </xf>
    <xf numFmtId="3" fontId="8" fillId="0" borderId="40" xfId="0" applyNumberFormat="1" applyFont="1" applyBorder="1"/>
    <xf numFmtId="3" fontId="7" fillId="0" borderId="13" xfId="0" applyNumberFormat="1" applyFont="1" applyBorder="1"/>
    <xf numFmtId="3" fontId="4" fillId="0" borderId="35" xfId="0" applyNumberFormat="1" applyFont="1" applyBorder="1"/>
    <xf numFmtId="3" fontId="4" fillId="0" borderId="36" xfId="0" applyNumberFormat="1" applyFont="1" applyBorder="1"/>
    <xf numFmtId="3" fontId="0" fillId="0" borderId="37" xfId="0" applyNumberFormat="1" applyBorder="1"/>
    <xf numFmtId="3" fontId="7" fillId="0" borderId="13" xfId="0" applyNumberFormat="1" applyFont="1" applyBorder="1" applyAlignment="1">
      <alignment horizontal="center" vertical="center"/>
    </xf>
    <xf numFmtId="3" fontId="8" fillId="0" borderId="0" xfId="0" applyNumberFormat="1" applyFont="1"/>
    <xf numFmtId="3" fontId="2" fillId="0" borderId="13" xfId="0" applyNumberFormat="1" applyFont="1" applyBorder="1"/>
    <xf numFmtId="3" fontId="4" fillId="0" borderId="13" xfId="0" applyNumberFormat="1" applyFont="1" applyBorder="1" applyAlignment="1">
      <alignment horizontal="center" vertical="center"/>
    </xf>
    <xf numFmtId="3" fontId="7" fillId="0" borderId="14" xfId="0" applyNumberFormat="1" applyFont="1" applyBorder="1" applyAlignment="1">
      <alignment horizontal="center"/>
    </xf>
    <xf numFmtId="3" fontId="7" fillId="0" borderId="8" xfId="0" applyNumberFormat="1" applyFont="1" applyBorder="1"/>
    <xf numFmtId="3" fontId="7" fillId="0" borderId="34" xfId="0" applyNumberFormat="1" applyFont="1" applyBorder="1" applyAlignment="1">
      <alignment horizontal="center"/>
    </xf>
    <xf numFmtId="3" fontId="8" fillId="0" borderId="38" xfId="0" applyNumberFormat="1" applyFont="1" applyBorder="1"/>
    <xf numFmtId="3" fontId="2" fillId="0" borderId="36" xfId="0" applyNumberFormat="1" applyFont="1" applyBorder="1"/>
    <xf numFmtId="3" fontId="2" fillId="0" borderId="4" xfId="0" applyNumberFormat="1" applyFont="1" applyBorder="1"/>
    <xf numFmtId="3" fontId="7" fillId="0" borderId="1" xfId="0" applyNumberFormat="1" applyFont="1" applyBorder="1"/>
    <xf numFmtId="3" fontId="4" fillId="0" borderId="3" xfId="0" applyNumberFormat="1" applyFont="1" applyBorder="1"/>
    <xf numFmtId="3" fontId="4" fillId="0" borderId="12" xfId="0" applyNumberFormat="1" applyFont="1" applyBorder="1"/>
    <xf numFmtId="3" fontId="4" fillId="0" borderId="13" xfId="0" applyNumberFormat="1" applyFont="1" applyBorder="1" applyAlignment="1">
      <alignment horizontal="center"/>
    </xf>
    <xf numFmtId="3" fontId="4" fillId="0" borderId="13" xfId="0" applyNumberFormat="1" applyFont="1" applyBorder="1" applyAlignment="1">
      <alignment horizontal="left"/>
    </xf>
    <xf numFmtId="3" fontId="4" fillId="0" borderId="5" xfId="0" applyNumberFormat="1" applyFont="1" applyBorder="1"/>
    <xf numFmtId="3" fontId="3" fillId="0" borderId="13" xfId="0" applyNumberFormat="1" applyFont="1" applyBorder="1"/>
    <xf numFmtId="3" fontId="7" fillId="0" borderId="14" xfId="0" applyNumberFormat="1" applyFont="1" applyBorder="1"/>
    <xf numFmtId="3" fontId="4" fillId="0" borderId="8" xfId="0" applyNumberFormat="1" applyFont="1" applyBorder="1"/>
    <xf numFmtId="3" fontId="1" fillId="0" borderId="13" xfId="0" applyNumberFormat="1" applyFont="1" applyBorder="1"/>
    <xf numFmtId="3" fontId="1" fillId="0" borderId="14" xfId="0" applyNumberFormat="1" applyFont="1" applyBorder="1"/>
    <xf numFmtId="3" fontId="2" fillId="0" borderId="1" xfId="0" applyNumberFormat="1" applyFont="1" applyBorder="1"/>
    <xf numFmtId="3" fontId="1" fillId="0" borderId="1" xfId="0" applyNumberFormat="1" applyFont="1" applyBorder="1"/>
    <xf numFmtId="3" fontId="0" fillId="2" borderId="1" xfId="0" applyNumberFormat="1" applyFill="1" applyBorder="1" applyProtection="1">
      <protection locked="0"/>
    </xf>
    <xf numFmtId="3" fontId="0" fillId="7" borderId="1" xfId="0" applyNumberFormat="1" applyFill="1" applyBorder="1" applyProtection="1">
      <protection locked="0"/>
    </xf>
    <xf numFmtId="3" fontId="0" fillId="0" borderId="1" xfId="0" applyNumberFormat="1" applyBorder="1"/>
    <xf numFmtId="0" fontId="7" fillId="0" borderId="10" xfId="0" applyFont="1" applyBorder="1" applyAlignment="1">
      <alignment horizontal="center"/>
    </xf>
    <xf numFmtId="0" fontId="7" fillId="0" borderId="13" xfId="0" applyFont="1" applyBorder="1"/>
    <xf numFmtId="0" fontId="7" fillId="0" borderId="13" xfId="0" applyFont="1" applyBorder="1" applyAlignment="1">
      <alignment horizontal="center"/>
    </xf>
    <xf numFmtId="0" fontId="7" fillId="0" borderId="1" xfId="0" applyFont="1" applyBorder="1" applyAlignment="1">
      <alignment horizontal="center"/>
    </xf>
    <xf numFmtId="0" fontId="7" fillId="0" borderId="39"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xf>
    <xf numFmtId="0" fontId="7" fillId="0" borderId="34" xfId="0" applyFont="1" applyBorder="1" applyAlignment="1">
      <alignment horizontal="center"/>
    </xf>
    <xf numFmtId="0" fontId="7" fillId="0" borderId="14" xfId="0" applyFont="1" applyBorder="1" applyAlignment="1">
      <alignment horizontal="center" wrapText="1"/>
    </xf>
    <xf numFmtId="0" fontId="4" fillId="0" borderId="1" xfId="0" applyFont="1" applyBorder="1" applyAlignment="1">
      <alignment horizontal="center"/>
    </xf>
    <xf numFmtId="0" fontId="7" fillId="0" borderId="14" xfId="0" applyFont="1" applyBorder="1"/>
    <xf numFmtId="3" fontId="7" fillId="0" borderId="14" xfId="0" applyNumberFormat="1" applyFont="1" applyBorder="1" applyAlignment="1">
      <alignment horizontal="center" vertical="center"/>
    </xf>
    <xf numFmtId="4" fontId="1" fillId="0" borderId="1" xfId="0" applyNumberFormat="1" applyFont="1" applyBorder="1" applyAlignment="1">
      <alignment wrapText="1"/>
    </xf>
    <xf numFmtId="4" fontId="1" fillId="8" borderId="1" xfId="0" applyNumberFormat="1" applyFont="1" applyFill="1" applyBorder="1" applyAlignment="1" applyProtection="1">
      <alignment horizontal="right"/>
      <protection locked="0"/>
    </xf>
    <xf numFmtId="4" fontId="31" fillId="9" borderId="1" xfId="3" applyNumberFormat="1" applyFont="1" applyFill="1" applyBorder="1" applyAlignment="1"/>
    <xf numFmtId="4" fontId="4" fillId="0" borderId="1" xfId="0" applyNumberFormat="1" applyFont="1" applyBorder="1"/>
    <xf numFmtId="4" fontId="31" fillId="9" borderId="1" xfId="0" applyNumberFormat="1" applyFont="1" applyFill="1" applyBorder="1" applyAlignment="1">
      <alignment vertical="center"/>
    </xf>
    <xf numFmtId="4" fontId="1" fillId="10" borderId="1" xfId="0" applyNumberFormat="1" applyFont="1" applyFill="1" applyBorder="1"/>
    <xf numFmtId="4" fontId="1" fillId="10" borderId="1" xfId="0" applyNumberFormat="1" applyFont="1" applyFill="1" applyBorder="1" applyAlignment="1">
      <alignment wrapText="1"/>
    </xf>
    <xf numFmtId="4" fontId="25" fillId="9" borderId="1" xfId="0" applyNumberFormat="1" applyFont="1" applyFill="1" applyBorder="1"/>
    <xf numFmtId="4" fontId="25" fillId="9" borderId="1" xfId="1" applyNumberFormat="1" applyFont="1" applyFill="1" applyBorder="1" applyAlignment="1" applyProtection="1"/>
    <xf numFmtId="4" fontId="25" fillId="9" borderId="1" xfId="0" applyNumberFormat="1" applyFont="1" applyFill="1" applyBorder="1" applyAlignment="1">
      <alignment vertical="center"/>
    </xf>
    <xf numFmtId="4" fontId="4" fillId="0" borderId="14" xfId="0" applyNumberFormat="1" applyFont="1" applyBorder="1"/>
    <xf numFmtId="4" fontId="4" fillId="0" borderId="6" xfId="0" applyNumberFormat="1" applyFont="1" applyBorder="1"/>
    <xf numFmtId="4" fontId="0" fillId="0" borderId="14" xfId="0" applyNumberFormat="1" applyBorder="1"/>
    <xf numFmtId="4" fontId="2" fillId="0" borderId="34" xfId="0" applyNumberFormat="1" applyFont="1" applyBorder="1"/>
    <xf numFmtId="4" fontId="2" fillId="0" borderId="14" xfId="0" applyNumberFormat="1" applyFont="1" applyBorder="1"/>
    <xf numFmtId="4" fontId="4" fillId="0" borderId="14" xfId="0" applyNumberFormat="1" applyFont="1" applyBorder="1" applyAlignment="1">
      <alignment vertical="center"/>
    </xf>
    <xf numFmtId="4" fontId="4" fillId="0" borderId="1" xfId="0" applyNumberFormat="1" applyFont="1" applyBorder="1" applyProtection="1">
      <protection locked="0"/>
    </xf>
    <xf numFmtId="4" fontId="2" fillId="0" borderId="8" xfId="0" applyNumberFormat="1" applyFont="1" applyBorder="1"/>
    <xf numFmtId="4" fontId="3" fillId="0" borderId="14" xfId="0" applyNumberFormat="1" applyFont="1" applyBorder="1"/>
    <xf numFmtId="0" fontId="7" fillId="0" borderId="6" xfId="0" applyFont="1" applyBorder="1" applyAlignment="1">
      <alignment horizontal="center" vertical="center" textRotation="90" wrapText="1"/>
    </xf>
    <xf numFmtId="4" fontId="7" fillId="0" borderId="14" xfId="0" applyNumberFormat="1" applyFont="1" applyBorder="1" applyAlignment="1">
      <alignment horizontal="center" vertical="center" textRotation="90" wrapText="1"/>
    </xf>
    <xf numFmtId="4" fontId="2" fillId="0" borderId="14" xfId="0" applyNumberFormat="1" applyFont="1" applyBorder="1" applyAlignment="1">
      <alignment horizontal="center" vertical="center" wrapText="1"/>
    </xf>
    <xf numFmtId="0" fontId="7" fillId="0" borderId="1" xfId="0" applyFont="1" applyBorder="1" applyAlignment="1">
      <alignment horizontal="center" vertical="top" wrapText="1"/>
    </xf>
    <xf numFmtId="4" fontId="7" fillId="0" borderId="14" xfId="0" applyNumberFormat="1" applyFont="1" applyBorder="1" applyAlignment="1">
      <alignment horizontal="center" vertical="top" wrapText="1"/>
    </xf>
    <xf numFmtId="3" fontId="8" fillId="0" borderId="0" xfId="0" applyNumberFormat="1" applyFont="1" applyAlignment="1">
      <alignment wrapText="1"/>
    </xf>
    <xf numFmtId="3" fontId="8" fillId="0" borderId="8" xfId="0" applyNumberFormat="1" applyFont="1" applyBorder="1" applyAlignment="1">
      <alignment vertical="center" wrapText="1"/>
    </xf>
    <xf numFmtId="4" fontId="1" fillId="0" borderId="0" xfId="0" quotePrefix="1" applyNumberFormat="1" applyFont="1"/>
    <xf numFmtId="4" fontId="3" fillId="0" borderId="0" xfId="12" applyNumberFormat="1" applyFont="1" applyAlignment="1">
      <alignment horizontal="left"/>
    </xf>
    <xf numFmtId="4" fontId="1" fillId="0" borderId="0" xfId="12" applyNumberFormat="1"/>
    <xf numFmtId="4" fontId="2" fillId="0" borderId="0" xfId="12" applyNumberFormat="1" applyFont="1" applyAlignment="1">
      <alignment horizontal="right"/>
    </xf>
    <xf numFmtId="4" fontId="2" fillId="0" borderId="0" xfId="12" applyNumberFormat="1" applyFont="1" applyAlignment="1">
      <alignment horizontal="left"/>
    </xf>
    <xf numFmtId="0" fontId="2" fillId="10" borderId="0" xfId="12" applyFont="1" applyFill="1" applyAlignment="1">
      <alignment horizontal="center"/>
    </xf>
    <xf numFmtId="1" fontId="1" fillId="0" borderId="0" xfId="12" applyNumberFormat="1" applyAlignment="1">
      <alignment horizontal="center"/>
    </xf>
    <xf numFmtId="4" fontId="2" fillId="0" borderId="0" xfId="12" applyNumberFormat="1" applyFont="1"/>
    <xf numFmtId="4" fontId="1" fillId="0" borderId="0" xfId="12" applyNumberFormat="1" applyAlignment="1">
      <alignment horizontal="right"/>
    </xf>
    <xf numFmtId="0" fontId="1" fillId="0" borderId="0" xfId="12" applyAlignment="1">
      <alignment horizontal="center"/>
    </xf>
    <xf numFmtId="4" fontId="8" fillId="0" borderId="43" xfId="12" applyNumberFormat="1" applyFont="1" applyBorder="1" applyAlignment="1">
      <alignment horizontal="center" vertical="top" wrapText="1"/>
    </xf>
    <xf numFmtId="4" fontId="7" fillId="0" borderId="31" xfId="12" applyNumberFormat="1" applyFont="1" applyBorder="1" applyAlignment="1">
      <alignment horizontal="center" vertical="top" wrapText="1"/>
    </xf>
    <xf numFmtId="4" fontId="7" fillId="0" borderId="32" xfId="12" applyNumberFormat="1" applyFont="1" applyBorder="1" applyAlignment="1">
      <alignment horizontal="center" vertical="top"/>
    </xf>
    <xf numFmtId="4" fontId="7" fillId="4" borderId="33" xfId="12" applyNumberFormat="1" applyFont="1" applyFill="1" applyBorder="1" applyAlignment="1">
      <alignment horizontal="center" vertical="top" wrapText="1"/>
    </xf>
    <xf numFmtId="4" fontId="12" fillId="5" borderId="31" xfId="12" applyNumberFormat="1" applyFont="1" applyFill="1" applyBorder="1" applyAlignment="1">
      <alignment horizontal="center" vertical="top" wrapText="1"/>
    </xf>
    <xf numFmtId="4" fontId="7" fillId="4" borderId="44" xfId="12" applyNumberFormat="1" applyFont="1" applyFill="1" applyBorder="1" applyAlignment="1">
      <alignment horizontal="center" vertical="top" wrapText="1"/>
    </xf>
    <xf numFmtId="4" fontId="7" fillId="0" borderId="45" xfId="12" applyNumberFormat="1" applyFont="1" applyBorder="1" applyAlignment="1">
      <alignment horizontal="center" vertical="top" wrapText="1"/>
    </xf>
    <xf numFmtId="4" fontId="1" fillId="0" borderId="0" xfId="12" applyNumberFormat="1" applyAlignment="1">
      <alignment horizontal="center"/>
    </xf>
    <xf numFmtId="4" fontId="13" fillId="4" borderId="1" xfId="12" applyNumberFormat="1" applyFont="1" applyFill="1" applyBorder="1" applyAlignment="1">
      <alignment vertical="center" wrapText="1"/>
    </xf>
    <xf numFmtId="4" fontId="10" fillId="4" borderId="1" xfId="12" applyNumberFormat="1" applyFont="1" applyFill="1" applyBorder="1" applyAlignment="1">
      <alignment vertical="center" wrapText="1"/>
    </xf>
    <xf numFmtId="4" fontId="3" fillId="4" borderId="46" xfId="12" applyNumberFormat="1" applyFont="1" applyFill="1" applyBorder="1" applyAlignment="1">
      <alignment horizontal="center" vertical="center"/>
    </xf>
    <xf numFmtId="4" fontId="3" fillId="0" borderId="14" xfId="12" applyNumberFormat="1" applyFont="1" applyBorder="1" applyAlignment="1">
      <alignment horizontal="center" vertical="center"/>
    </xf>
    <xf numFmtId="4" fontId="3" fillId="0" borderId="47" xfId="12" applyNumberFormat="1" applyFont="1" applyBorder="1" applyAlignment="1">
      <alignment horizontal="center" vertical="center"/>
    </xf>
    <xf numFmtId="4" fontId="3" fillId="0" borderId="48" xfId="12" applyNumberFormat="1" applyFont="1" applyBorder="1" applyAlignment="1">
      <alignment horizontal="center" vertical="center"/>
    </xf>
    <xf numFmtId="4" fontId="10" fillId="0" borderId="43" xfId="12" applyNumberFormat="1" applyFont="1" applyBorder="1" applyAlignment="1">
      <alignment vertical="center"/>
    </xf>
    <xf numFmtId="4" fontId="3" fillId="0" borderId="25" xfId="12" applyNumberFormat="1" applyFont="1" applyBorder="1" applyAlignment="1">
      <alignment horizontal="center" vertical="center"/>
    </xf>
    <xf numFmtId="4" fontId="3" fillId="0" borderId="1" xfId="12" applyNumberFormat="1" applyFont="1" applyBorder="1" applyAlignment="1">
      <alignment horizontal="center" vertical="center"/>
    </xf>
    <xf numFmtId="4" fontId="3" fillId="4" borderId="30" xfId="12" applyNumberFormat="1" applyFont="1" applyFill="1" applyBorder="1" applyAlignment="1">
      <alignment horizontal="center" vertical="center"/>
    </xf>
    <xf numFmtId="4" fontId="14" fillId="5" borderId="1" xfId="12" applyNumberFormat="1" applyFont="1" applyFill="1" applyBorder="1" applyAlignment="1">
      <alignment vertical="center" wrapText="1"/>
    </xf>
    <xf numFmtId="4" fontId="15" fillId="5" borderId="9" xfId="12" applyNumberFormat="1" applyFont="1" applyFill="1" applyBorder="1" applyAlignment="1">
      <alignment vertical="center" wrapText="1"/>
    </xf>
    <xf numFmtId="4" fontId="16" fillId="5" borderId="1" xfId="12" applyNumberFormat="1" applyFont="1" applyFill="1" applyBorder="1" applyAlignment="1">
      <alignment horizontal="center" vertical="center"/>
    </xf>
    <xf numFmtId="4" fontId="16" fillId="0" borderId="30" xfId="12" applyNumberFormat="1" applyFont="1" applyBorder="1" applyAlignment="1">
      <alignment horizontal="center" vertical="center"/>
    </xf>
    <xf numFmtId="4" fontId="16" fillId="0" borderId="29" xfId="12" applyNumberFormat="1" applyFont="1" applyBorder="1" applyAlignment="1">
      <alignment horizontal="center" vertical="center"/>
    </xf>
    <xf numFmtId="4" fontId="3" fillId="4" borderId="25" xfId="12" applyNumberFormat="1" applyFont="1" applyFill="1" applyBorder="1" applyAlignment="1">
      <alignment horizontal="center" vertical="center"/>
    </xf>
    <xf numFmtId="4" fontId="16" fillId="0" borderId="1" xfId="12" applyNumberFormat="1" applyFont="1" applyBorder="1" applyAlignment="1">
      <alignment horizontal="center" vertical="center"/>
    </xf>
    <xf numFmtId="4" fontId="10" fillId="4" borderId="9" xfId="12" applyNumberFormat="1" applyFont="1" applyFill="1" applyBorder="1" applyAlignment="1">
      <alignment vertical="center" wrapText="1"/>
    </xf>
    <xf numFmtId="4" fontId="3" fillId="0" borderId="30" xfId="12" applyNumberFormat="1" applyFont="1" applyBorder="1" applyAlignment="1">
      <alignment horizontal="center" vertical="center"/>
    </xf>
    <xf numFmtId="4" fontId="3" fillId="0" borderId="29" xfId="12" applyNumberFormat="1" applyFont="1" applyBorder="1" applyAlignment="1">
      <alignment horizontal="center" vertical="center"/>
    </xf>
    <xf numFmtId="4" fontId="15" fillId="5" borderId="1" xfId="12" applyNumberFormat="1" applyFont="1" applyFill="1" applyBorder="1" applyAlignment="1">
      <alignment vertical="center" wrapText="1"/>
    </xf>
    <xf numFmtId="4" fontId="14" fillId="5" borderId="14" xfId="12" applyNumberFormat="1" applyFont="1" applyFill="1" applyBorder="1" applyAlignment="1">
      <alignment vertical="center" wrapText="1"/>
    </xf>
    <xf numFmtId="4" fontId="15" fillId="5" borderId="6" xfId="12" applyNumberFormat="1" applyFont="1" applyFill="1" applyBorder="1" applyAlignment="1">
      <alignment vertical="center" wrapText="1"/>
    </xf>
    <xf numFmtId="4" fontId="16" fillId="0" borderId="48" xfId="12" applyNumberFormat="1" applyFont="1" applyBorder="1" applyAlignment="1">
      <alignment horizontal="center" vertical="center"/>
    </xf>
    <xf numFmtId="4" fontId="10" fillId="0" borderId="49" xfId="12" applyNumberFormat="1" applyFont="1" applyBorder="1" applyAlignment="1">
      <alignment vertical="center"/>
    </xf>
    <xf numFmtId="4" fontId="16" fillId="6" borderId="1" xfId="12" applyNumberFormat="1" applyFont="1" applyFill="1" applyBorder="1" applyAlignment="1">
      <alignment horizontal="center" vertical="center"/>
    </xf>
    <xf numFmtId="4" fontId="38" fillId="5" borderId="1" xfId="12" applyNumberFormat="1" applyFont="1" applyFill="1" applyBorder="1" applyAlignment="1">
      <alignment vertical="center" wrapText="1"/>
    </xf>
    <xf numFmtId="4" fontId="37" fillId="5" borderId="1" xfId="12" applyNumberFormat="1" applyFont="1" applyFill="1" applyBorder="1" applyAlignment="1">
      <alignment vertical="center" wrapText="1"/>
    </xf>
    <xf numFmtId="4" fontId="1" fillId="0" borderId="0" xfId="12" applyNumberFormat="1" applyAlignment="1">
      <alignment vertical="center"/>
    </xf>
    <xf numFmtId="4" fontId="7" fillId="0" borderId="0" xfId="12" applyNumberFormat="1" applyFont="1"/>
    <xf numFmtId="4" fontId="17" fillId="0" borderId="0" xfId="12" applyNumberFormat="1" applyFont="1"/>
    <xf numFmtId="4" fontId="2" fillId="0" borderId="1" xfId="12" applyNumberFormat="1" applyFont="1" applyBorder="1" applyAlignment="1">
      <alignment horizontal="center"/>
    </xf>
    <xf numFmtId="0" fontId="1" fillId="0" borderId="9" xfId="0" applyFont="1" applyBorder="1"/>
    <xf numFmtId="0" fontId="40" fillId="0" borderId="0" xfId="10" applyFont="1"/>
    <xf numFmtId="0" fontId="23" fillId="0" borderId="0" xfId="0" applyFont="1" applyAlignment="1">
      <alignment wrapText="1"/>
    </xf>
    <xf numFmtId="4" fontId="0" fillId="2" borderId="1" xfId="0" applyNumberFormat="1" applyFill="1" applyBorder="1" applyAlignment="1" applyProtection="1">
      <alignment wrapText="1"/>
      <protection locked="0"/>
    </xf>
    <xf numFmtId="4" fontId="0" fillId="7" borderId="1" xfId="0" applyNumberFormat="1" applyFill="1" applyBorder="1" applyAlignment="1" applyProtection="1">
      <alignment wrapText="1"/>
      <protection locked="0"/>
    </xf>
    <xf numFmtId="0" fontId="1" fillId="0" borderId="1" xfId="0" applyFont="1" applyBorder="1" applyAlignment="1">
      <alignment horizontal="center" vertical="center"/>
    </xf>
    <xf numFmtId="4" fontId="32" fillId="0" borderId="14" xfId="0" applyNumberFormat="1" applyFont="1" applyBorder="1" applyAlignment="1">
      <alignment horizontal="center" vertical="top" wrapText="1"/>
    </xf>
    <xf numFmtId="0" fontId="39" fillId="7" borderId="0" xfId="13" applyFill="1" applyProtection="1">
      <protection locked="0"/>
    </xf>
    <xf numFmtId="3" fontId="4" fillId="0" borderId="10" xfId="0" applyNumberFormat="1" applyFont="1" applyBorder="1" applyAlignment="1">
      <alignment horizontal="center"/>
    </xf>
    <xf numFmtId="4" fontId="2" fillId="0" borderId="0" xfId="0" applyNumberFormat="1" applyFont="1" applyAlignment="1">
      <alignment wrapText="1"/>
    </xf>
    <xf numFmtId="4" fontId="23" fillId="0" borderId="0" xfId="12" applyNumberFormat="1" applyFont="1" applyAlignment="1">
      <alignment horizontal="left"/>
    </xf>
    <xf numFmtId="4" fontId="23" fillId="0" borderId="0" xfId="12" applyNumberFormat="1" applyFont="1"/>
    <xf numFmtId="0" fontId="7" fillId="0" borderId="0" xfId="0" applyFont="1" applyAlignment="1">
      <alignment horizontal="center" wrapText="1"/>
    </xf>
    <xf numFmtId="3" fontId="7" fillId="0" borderId="0" xfId="0" applyNumberFormat="1" applyFont="1" applyAlignment="1">
      <alignment horizontal="center" vertical="center"/>
    </xf>
    <xf numFmtId="3" fontId="8" fillId="0" borderId="0" xfId="0" applyNumberFormat="1" applyFont="1" applyAlignment="1">
      <alignment vertical="center" wrapText="1"/>
    </xf>
    <xf numFmtId="4" fontId="4" fillId="0" borderId="0" xfId="0" applyNumberFormat="1" applyFont="1" applyAlignment="1">
      <alignment vertical="center"/>
    </xf>
    <xf numFmtId="4" fontId="3" fillId="0" borderId="1" xfId="0" applyNumberFormat="1" applyFont="1" applyBorder="1" applyAlignment="1">
      <alignment horizontal="left" vertical="center"/>
    </xf>
    <xf numFmtId="3" fontId="0" fillId="2" borderId="1" xfId="0" applyNumberFormat="1" applyFill="1" applyBorder="1" applyAlignment="1" applyProtection="1">
      <alignment vertical="center"/>
      <protection locked="0"/>
    </xf>
    <xf numFmtId="0" fontId="1" fillId="8" borderId="0" xfId="0" applyFont="1" applyFill="1" applyAlignment="1" applyProtection="1">
      <alignment horizontal="center" vertical="center"/>
      <protection locked="0"/>
    </xf>
    <xf numFmtId="4" fontId="23" fillId="0" borderId="0" xfId="0" applyNumberFormat="1" applyFont="1" applyAlignment="1">
      <alignment wrapText="1"/>
    </xf>
    <xf numFmtId="0" fontId="0" fillId="0" borderId="0" xfId="0" applyAlignment="1" applyProtection="1">
      <alignment horizontal="center" vertical="center"/>
    </xf>
    <xf numFmtId="0" fontId="4" fillId="0" borderId="0" xfId="0" applyFont="1" applyAlignment="1" applyProtection="1">
      <alignment horizontal="center" vertical="center"/>
    </xf>
    <xf numFmtId="0" fontId="1" fillId="7" borderId="1" xfId="0" applyNumberFormat="1" applyFont="1" applyFill="1" applyBorder="1" applyAlignment="1" applyProtection="1">
      <alignment horizontal="center"/>
      <protection locked="0"/>
    </xf>
    <xf numFmtId="4" fontId="1" fillId="7" borderId="1" xfId="0" applyNumberFormat="1" applyFont="1" applyFill="1" applyBorder="1" applyAlignment="1" applyProtection="1">
      <protection locked="0"/>
    </xf>
    <xf numFmtId="0" fontId="1" fillId="8" borderId="1" xfId="0" applyNumberFormat="1" applyFont="1" applyFill="1" applyBorder="1" applyAlignment="1" applyProtection="1">
      <alignment horizontal="right"/>
      <protection locked="0"/>
    </xf>
    <xf numFmtId="0" fontId="1" fillId="7" borderId="1" xfId="0" applyNumberFormat="1" applyFont="1" applyFill="1" applyBorder="1" applyAlignment="1" applyProtection="1">
      <alignment horizontal="right"/>
      <protection locked="0"/>
    </xf>
    <xf numFmtId="0" fontId="0" fillId="0" borderId="7" xfId="0" pivotButton="1" applyBorder="1"/>
    <xf numFmtId="0" fontId="1" fillId="0" borderId="0" xfId="12"/>
    <xf numFmtId="4" fontId="1" fillId="0" borderId="1" xfId="0" applyNumberFormat="1" applyFont="1" applyBorder="1" applyAlignment="1">
      <alignment wrapText="1"/>
    </xf>
    <xf numFmtId="1" fontId="1" fillId="0" borderId="1" xfId="0" applyNumberFormat="1" applyFont="1" applyBorder="1" applyAlignment="1">
      <alignment horizontal="center" vertical="center"/>
    </xf>
    <xf numFmtId="10" fontId="32" fillId="0" borderId="0" xfId="6" applyNumberFormat="1" applyFont="1" applyAlignment="1">
      <alignment horizontal="center" vertical="top" wrapText="1"/>
    </xf>
    <xf numFmtId="4" fontId="3" fillId="0" borderId="0" xfId="12" applyNumberFormat="1" applyFont="1" applyAlignment="1">
      <alignment horizontal="left" vertical="center"/>
    </xf>
    <xf numFmtId="4" fontId="5" fillId="0" borderId="0" xfId="12" applyNumberFormat="1" applyFont="1"/>
    <xf numFmtId="4" fontId="5" fillId="0" borderId="0" xfId="12" applyNumberFormat="1" applyFont="1" applyAlignment="1">
      <alignment horizontal="center"/>
    </xf>
    <xf numFmtId="4" fontId="1" fillId="0" borderId="0" xfId="12" applyNumberFormat="1" applyFont="1"/>
    <xf numFmtId="4" fontId="1" fillId="0" borderId="0" xfId="12" applyNumberFormat="1" applyFont="1" applyAlignment="1">
      <alignment horizontal="right"/>
    </xf>
    <xf numFmtId="0" fontId="1" fillId="0" borderId="0" xfId="12" applyFont="1" applyAlignment="1">
      <alignment horizontal="center"/>
    </xf>
    <xf numFmtId="0" fontId="1" fillId="0" borderId="0" xfId="12" applyAlignment="1">
      <alignment horizontal="center"/>
    </xf>
    <xf numFmtId="0" fontId="2" fillId="0" borderId="4" xfId="12" applyFont="1" applyBorder="1" applyAlignment="1">
      <alignment horizontal="center"/>
    </xf>
    <xf numFmtId="0" fontId="2" fillId="0" borderId="1" xfId="12" applyFont="1" applyBorder="1" applyAlignment="1">
      <alignment horizontal="center" vertical="center"/>
    </xf>
    <xf numFmtId="0" fontId="2" fillId="0" borderId="1" xfId="12" applyFont="1" applyBorder="1" applyAlignment="1">
      <alignment horizontal="center" vertical="center" wrapText="1"/>
    </xf>
    <xf numFmtId="0" fontId="2" fillId="0" borderId="4" xfId="12" applyFont="1" applyBorder="1" applyAlignment="1">
      <alignment wrapText="1"/>
    </xf>
    <xf numFmtId="0" fontId="2" fillId="0" borderId="0" xfId="12" applyFont="1"/>
    <xf numFmtId="0" fontId="1" fillId="0" borderId="1" xfId="12" applyBorder="1"/>
    <xf numFmtId="0" fontId="1" fillId="0" borderId="1" xfId="12" applyBorder="1" applyAlignment="1">
      <alignment horizontal="center"/>
    </xf>
    <xf numFmtId="0" fontId="1" fillId="0" borderId="4" xfId="12" applyBorder="1"/>
    <xf numFmtId="0" fontId="2" fillId="10" borderId="9" xfId="12" applyFont="1" applyFill="1" applyBorder="1" applyAlignment="1">
      <alignment horizontal="left" vertical="center" wrapText="1"/>
    </xf>
    <xf numFmtId="3" fontId="2" fillId="10" borderId="9" xfId="12" applyNumberFormat="1" applyFont="1" applyFill="1" applyBorder="1" applyAlignment="1">
      <alignment vertical="center" wrapText="1"/>
    </xf>
    <xf numFmtId="3" fontId="2" fillId="0" borderId="4" xfId="12" applyNumberFormat="1" applyFont="1" applyFill="1" applyBorder="1" applyAlignment="1">
      <alignment vertical="center" wrapText="1"/>
    </xf>
    <xf numFmtId="4" fontId="2" fillId="0" borderId="0" xfId="12" applyNumberFormat="1" applyFont="1" applyFill="1" applyBorder="1" applyAlignment="1">
      <alignment vertical="center" wrapText="1"/>
    </xf>
    <xf numFmtId="0" fontId="2" fillId="0" borderId="0" xfId="12" applyFont="1" applyAlignment="1">
      <alignment horizontal="left"/>
    </xf>
    <xf numFmtId="0" fontId="30" fillId="0" borderId="1" xfId="12" applyFont="1" applyBorder="1" applyAlignment="1">
      <alignment horizontal="left" vertical="top" wrapText="1"/>
    </xf>
    <xf numFmtId="0" fontId="2" fillId="0" borderId="1" xfId="12" applyFont="1" applyBorder="1" applyAlignment="1">
      <alignment horizontal="left" vertical="top" wrapText="1"/>
    </xf>
    <xf numFmtId="0" fontId="2" fillId="0" borderId="1" xfId="12" applyFont="1" applyBorder="1" applyAlignment="1">
      <alignment vertical="top" wrapText="1"/>
    </xf>
    <xf numFmtId="0" fontId="2" fillId="0" borderId="0" xfId="12" applyFont="1" applyAlignment="1">
      <alignment vertical="top"/>
    </xf>
    <xf numFmtId="0" fontId="23" fillId="0" borderId="1" xfId="12" applyFont="1" applyBorder="1"/>
    <xf numFmtId="4" fontId="1" fillId="0" borderId="1" xfId="12" applyNumberFormat="1" applyBorder="1"/>
    <xf numFmtId="3" fontId="2" fillId="10" borderId="1" xfId="12" applyNumberFormat="1" applyFont="1" applyFill="1" applyBorder="1" applyAlignment="1">
      <alignment vertical="center" wrapText="1"/>
    </xf>
    <xf numFmtId="4" fontId="23" fillId="0" borderId="0" xfId="0" applyNumberFormat="1" applyFont="1" applyAlignment="1">
      <alignment vertical="center"/>
    </xf>
    <xf numFmtId="0" fontId="23" fillId="0" borderId="0" xfId="12" applyFont="1" applyAlignment="1">
      <alignment wrapText="1"/>
    </xf>
    <xf numFmtId="0" fontId="2" fillId="0" borderId="1" xfId="12" applyFont="1" applyBorder="1" applyAlignment="1">
      <alignment horizontal="center" vertical="center" wrapText="1"/>
    </xf>
    <xf numFmtId="10" fontId="7" fillId="10" borderId="1" xfId="0" applyNumberFormat="1" applyFont="1" applyFill="1" applyBorder="1" applyAlignment="1">
      <alignment horizontal="center" vertical="center" wrapText="1"/>
    </xf>
    <xf numFmtId="0" fontId="1" fillId="0" borderId="0" xfId="12"/>
    <xf numFmtId="4" fontId="0" fillId="0" borderId="0" xfId="0" applyNumberFormat="1" applyFill="1"/>
    <xf numFmtId="4" fontId="3" fillId="0" borderId="0" xfId="0" applyNumberFormat="1" applyFont="1" applyFill="1"/>
    <xf numFmtId="4" fontId="1" fillId="0" borderId="0" xfId="0" applyNumberFormat="1" applyFont="1" applyFill="1" applyAlignment="1">
      <alignment horizontal="right"/>
    </xf>
    <xf numFmtId="0" fontId="4" fillId="0" borderId="1" xfId="0" applyFont="1" applyFill="1" applyBorder="1" applyAlignment="1">
      <alignment horizontal="center" vertical="center"/>
    </xf>
    <xf numFmtId="4" fontId="1" fillId="0" borderId="1" xfId="0" applyNumberFormat="1" applyFont="1" applyFill="1" applyBorder="1" applyAlignment="1">
      <alignment vertical="center" wrapText="1"/>
    </xf>
    <xf numFmtId="4" fontId="30" fillId="0" borderId="0" xfId="0" applyNumberFormat="1" applyFont="1" applyFill="1"/>
    <xf numFmtId="0" fontId="0" fillId="0" borderId="0" xfId="0" applyFill="1" applyAlignment="1">
      <alignment wrapText="1"/>
    </xf>
    <xf numFmtId="4" fontId="1" fillId="0" borderId="0" xfId="0" applyNumberFormat="1" applyFont="1" applyFill="1"/>
    <xf numFmtId="3" fontId="1" fillId="0" borderId="9"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0" xfId="12" applyFill="1"/>
    <xf numFmtId="0" fontId="1" fillId="7" borderId="0" xfId="0" applyFont="1" applyFill="1" applyAlignment="1" applyProtection="1">
      <alignment horizontal="left" vertical="center"/>
      <protection locked="0"/>
    </xf>
    <xf numFmtId="4" fontId="1" fillId="8" borderId="0" xfId="0" applyNumberFormat="1" applyFont="1" applyFill="1" applyAlignment="1" applyProtection="1">
      <alignment horizontal="left" vertical="top" wrapText="1"/>
      <protection locked="0"/>
    </xf>
    <xf numFmtId="0" fontId="0" fillId="8" borderId="0" xfId="0" applyFill="1" applyAlignment="1" applyProtection="1">
      <alignment wrapText="1"/>
      <protection locked="0"/>
    </xf>
    <xf numFmtId="0" fontId="0" fillId="0" borderId="0" xfId="0" applyAlignment="1" applyProtection="1">
      <alignment wrapText="1"/>
      <protection locked="0"/>
    </xf>
    <xf numFmtId="3" fontId="2" fillId="0" borderId="9"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4" fontId="0" fillId="8" borderId="0" xfId="0" applyNumberFormat="1" applyFill="1" applyAlignment="1" applyProtection="1">
      <alignment wrapText="1"/>
      <protection locked="0"/>
    </xf>
    <xf numFmtId="0" fontId="0" fillId="0" borderId="0" xfId="0" applyProtection="1">
      <protection locked="0"/>
    </xf>
    <xf numFmtId="0" fontId="2" fillId="0" borderId="0" xfId="0" applyFont="1" applyAlignment="1">
      <alignment wrapText="1"/>
    </xf>
    <xf numFmtId="0" fontId="0" fillId="0" borderId="0" xfId="0" applyAlignment="1">
      <alignment wrapText="1"/>
    </xf>
    <xf numFmtId="0" fontId="0" fillId="0" borderId="0" xfId="0"/>
    <xf numFmtId="0" fontId="33" fillId="11" borderId="0" xfId="10" applyFont="1" applyFill="1" applyAlignment="1">
      <alignment horizontal="center"/>
    </xf>
    <xf numFmtId="0" fontId="4" fillId="10" borderId="0" xfId="0" applyFont="1" applyFill="1" applyAlignment="1">
      <alignment horizontal="center" vertical="center"/>
    </xf>
    <xf numFmtId="4" fontId="4" fillId="2" borderId="0" xfId="0" applyNumberFormat="1" applyFont="1" applyFill="1" applyAlignment="1" applyProtection="1">
      <alignment horizontal="left" vertical="top" wrapText="1"/>
      <protection locked="0"/>
    </xf>
    <xf numFmtId="0" fontId="4" fillId="0" borderId="10" xfId="0" applyFont="1" applyBorder="1" applyAlignment="1">
      <alignment horizontal="center" vertical="center"/>
    </xf>
    <xf numFmtId="0" fontId="0" fillId="0" borderId="14" xfId="0" applyBorder="1" applyAlignment="1">
      <alignment horizontal="center" vertical="center"/>
    </xf>
    <xf numFmtId="4" fontId="2" fillId="7" borderId="9" xfId="0" applyNumberFormat="1" applyFont="1" applyFill="1" applyBorder="1" applyAlignment="1" applyProtection="1">
      <alignment horizontal="center" vertical="center"/>
      <protection locked="0"/>
    </xf>
    <xf numFmtId="0" fontId="0" fillId="0" borderId="12" xfId="0" applyBorder="1" applyAlignment="1">
      <alignment horizontal="center" vertical="center"/>
    </xf>
    <xf numFmtId="4" fontId="0" fillId="0" borderId="0" xfId="0" applyNumberFormat="1" applyAlignment="1" applyProtection="1">
      <alignment wrapText="1"/>
      <protection locked="0"/>
    </xf>
    <xf numFmtId="4" fontId="1" fillId="0" borderId="0" xfId="0" quotePrefix="1" applyNumberFormat="1" applyFont="1" applyAlignment="1">
      <alignment wrapText="1"/>
    </xf>
    <xf numFmtId="4" fontId="4" fillId="0" borderId="0" xfId="0" applyNumberFormat="1" applyFont="1" applyAlignment="1" applyProtection="1">
      <alignment wrapText="1"/>
      <protection locked="0"/>
    </xf>
    <xf numFmtId="4" fontId="1" fillId="2" borderId="0" xfId="0" applyNumberFormat="1" applyFont="1" applyFill="1" applyAlignment="1" applyProtection="1">
      <alignment horizontal="left" vertical="top" wrapText="1"/>
      <protection locked="0"/>
    </xf>
    <xf numFmtId="0" fontId="1" fillId="0" borderId="0" xfId="0" applyFont="1" applyAlignment="1" applyProtection="1">
      <alignment horizontal="center" vertical="center"/>
    </xf>
    <xf numFmtId="0" fontId="4" fillId="0" borderId="0" xfId="0" applyFont="1" applyAlignment="1" applyProtection="1">
      <alignment horizontal="center" vertical="center"/>
    </xf>
    <xf numFmtId="4" fontId="2" fillId="7" borderId="0" xfId="0" applyNumberFormat="1" applyFont="1" applyFill="1" applyAlignment="1" applyProtection="1">
      <alignment horizontal="left" vertical="center"/>
      <protection locked="0"/>
    </xf>
    <xf numFmtId="4" fontId="2" fillId="8" borderId="9" xfId="0" applyNumberFormat="1" applyFont="1" applyFill="1" applyBorder="1" applyAlignment="1" applyProtection="1">
      <alignment horizontal="center" vertical="center" wrapText="1"/>
      <protection locked="0"/>
    </xf>
    <xf numFmtId="0" fontId="2" fillId="8" borderId="12" xfId="0" applyFont="1" applyFill="1" applyBorder="1" applyAlignment="1" applyProtection="1">
      <alignment horizontal="center" vertical="center" wrapText="1"/>
      <protection locked="0"/>
    </xf>
    <xf numFmtId="4" fontId="2" fillId="0" borderId="26" xfId="0" applyNumberFormat="1" applyFont="1" applyBorder="1" applyAlignment="1">
      <alignment horizontal="center" vertical="center"/>
    </xf>
    <xf numFmtId="4" fontId="2" fillId="0" borderId="11" xfId="0" applyNumberFormat="1" applyFont="1" applyBorder="1" applyAlignment="1">
      <alignment horizontal="center" vertical="center"/>
    </xf>
    <xf numFmtId="4" fontId="2" fillId="0" borderId="12" xfId="0" applyNumberFormat="1" applyFont="1" applyBorder="1" applyAlignment="1">
      <alignment horizontal="center" vertical="center"/>
    </xf>
    <xf numFmtId="0" fontId="1" fillId="10"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4" fontId="1" fillId="8" borderId="0" xfId="0" applyNumberFormat="1" applyFont="1" applyFill="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3" fontId="1" fillId="0" borderId="23" xfId="0" applyNumberFormat="1" applyFont="1" applyBorder="1" applyAlignment="1">
      <alignment horizontal="center" vertical="center" wrapText="1"/>
    </xf>
    <xf numFmtId="3" fontId="1" fillId="0" borderId="16" xfId="0" applyNumberFormat="1" applyFont="1" applyBorder="1" applyAlignment="1">
      <alignment horizontal="center" vertical="center"/>
    </xf>
    <xf numFmtId="3" fontId="1" fillId="0" borderId="10"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0" fillId="0" borderId="0" xfId="0" applyAlignment="1">
      <alignment vertical="center"/>
    </xf>
    <xf numFmtId="0" fontId="0" fillId="0" borderId="0" xfId="0" applyAlignment="1" applyProtection="1">
      <alignment vertical="center"/>
    </xf>
    <xf numFmtId="0" fontId="1" fillId="8" borderId="0" xfId="0" applyFont="1" applyFill="1" applyAlignment="1" applyProtection="1">
      <alignment horizontal="center" vertical="center"/>
      <protection locked="0"/>
    </xf>
    <xf numFmtId="0" fontId="0" fillId="8" borderId="0" xfId="0" applyFill="1" applyAlignment="1" applyProtection="1">
      <alignment vertical="center"/>
      <protection locked="0"/>
    </xf>
    <xf numFmtId="3" fontId="23" fillId="0" borderId="9" xfId="0" applyNumberFormat="1"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4" fontId="1" fillId="0" borderId="11" xfId="12" applyNumberFormat="1" applyBorder="1" applyAlignment="1">
      <alignment vertical="center" wrapText="1"/>
    </xf>
    <xf numFmtId="0" fontId="1" fillId="0" borderId="11" xfId="12" applyBorder="1" applyAlignment="1">
      <alignment vertical="center" wrapText="1"/>
    </xf>
    <xf numFmtId="0" fontId="1" fillId="0" borderId="12" xfId="12" applyBorder="1" applyAlignment="1">
      <alignment vertical="center" wrapText="1"/>
    </xf>
    <xf numFmtId="4" fontId="7" fillId="0" borderId="0" xfId="12" applyNumberFormat="1" applyFont="1" applyAlignment="1">
      <alignment wrapText="1"/>
    </xf>
    <xf numFmtId="0" fontId="1" fillId="0" borderId="0" xfId="12"/>
    <xf numFmtId="4" fontId="8" fillId="0" borderId="9" xfId="12" applyNumberFormat="1" applyFont="1" applyBorder="1" applyAlignment="1">
      <alignment horizontal="center" vertical="top" wrapText="1"/>
    </xf>
    <xf numFmtId="4" fontId="8" fillId="0" borderId="11" xfId="12" applyNumberFormat="1" applyFont="1" applyBorder="1" applyAlignment="1">
      <alignment horizontal="center" vertical="top"/>
    </xf>
    <xf numFmtId="4" fontId="8" fillId="0" borderId="28" xfId="12" applyNumberFormat="1" applyFont="1" applyBorder="1" applyAlignment="1">
      <alignment horizontal="center" vertical="top"/>
    </xf>
    <xf numFmtId="0" fontId="1" fillId="0" borderId="11" xfId="12" applyBorder="1" applyAlignment="1">
      <alignment horizontal="center" vertical="top"/>
    </xf>
    <xf numFmtId="0" fontId="1" fillId="0" borderId="29" xfId="12" applyBorder="1" applyAlignment="1">
      <alignment horizontal="center" vertical="top"/>
    </xf>
    <xf numFmtId="4" fontId="1" fillId="0" borderId="9" xfId="12" applyNumberFormat="1" applyBorder="1" applyAlignment="1">
      <alignment vertical="center" wrapText="1"/>
    </xf>
    <xf numFmtId="4" fontId="3" fillId="0" borderId="0" xfId="0" applyNumberFormat="1" applyFont="1" applyFill="1" applyAlignment="1">
      <alignment horizontal="left"/>
    </xf>
    <xf numFmtId="4" fontId="4" fillId="8" borderId="0" xfId="0" applyNumberFormat="1" applyFont="1" applyFill="1" applyAlignment="1" applyProtection="1">
      <alignment horizontal="left" vertical="top" wrapText="1"/>
      <protection locked="0"/>
    </xf>
    <xf numFmtId="4" fontId="1" fillId="7" borderId="0" xfId="0" applyNumberFormat="1" applyFont="1" applyFill="1" applyAlignment="1" applyProtection="1">
      <alignment horizontal="left" vertical="top" wrapText="1"/>
      <protection locked="0"/>
    </xf>
    <xf numFmtId="0" fontId="0" fillId="7" borderId="0" xfId="0" applyFill="1" applyAlignment="1" applyProtection="1">
      <alignment wrapText="1"/>
      <protection locked="0"/>
    </xf>
    <xf numFmtId="4" fontId="1" fillId="0" borderId="9" xfId="0" applyNumberFormat="1" applyFont="1" applyFill="1" applyBorder="1" applyAlignment="1">
      <alignment horizontal="left" vertical="center" wrapText="1"/>
    </xf>
    <xf numFmtId="4" fontId="1" fillId="0" borderId="11" xfId="0" applyNumberFormat="1" applyFont="1" applyFill="1" applyBorder="1" applyAlignment="1">
      <alignment horizontal="left" vertical="center" wrapText="1"/>
    </xf>
    <xf numFmtId="4" fontId="1" fillId="0" borderId="12"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 fontId="1" fillId="0" borderId="9" xfId="0" applyNumberFormat="1"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4" fontId="1" fillId="0" borderId="9" xfId="0" quotePrefix="1" applyNumberFormat="1" applyFont="1" applyBorder="1" applyAlignment="1">
      <alignment wrapText="1"/>
    </xf>
    <xf numFmtId="0" fontId="0" fillId="0" borderId="11" xfId="0" applyBorder="1" applyAlignment="1">
      <alignment wrapText="1"/>
    </xf>
    <xf numFmtId="0" fontId="0" fillId="0" borderId="12" xfId="0" applyBorder="1" applyAlignment="1">
      <alignment wrapText="1"/>
    </xf>
    <xf numFmtId="4" fontId="1" fillId="0" borderId="9" xfId="0" applyNumberFormat="1" applyFont="1" applyBorder="1" applyAlignment="1">
      <alignment wrapText="1"/>
    </xf>
    <xf numFmtId="4" fontId="2" fillId="0" borderId="9" xfId="0" applyNumberFormat="1" applyFont="1"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4" fontId="1" fillId="0" borderId="2" xfId="0" applyNumberFormat="1" applyFont="1" applyBorder="1" applyAlignment="1">
      <alignment wrapText="1"/>
    </xf>
    <xf numFmtId="0" fontId="1" fillId="0" borderId="2"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4" fontId="1" fillId="0" borderId="11" xfId="0" applyNumberFormat="1" applyFont="1" applyBorder="1" applyAlignment="1">
      <alignment wrapText="1"/>
    </xf>
    <xf numFmtId="4" fontId="1" fillId="0" borderId="12" xfId="0" applyNumberFormat="1" applyFont="1" applyBorder="1" applyAlignment="1">
      <alignment wrapText="1"/>
    </xf>
    <xf numFmtId="0" fontId="0" fillId="8" borderId="0" xfId="0" applyFill="1" applyAlignment="1" applyProtection="1">
      <alignment horizontal="left" vertical="top" wrapText="1"/>
      <protection locked="0"/>
    </xf>
    <xf numFmtId="4" fontId="2" fillId="0" borderId="11" xfId="0" applyNumberFormat="1" applyFont="1" applyBorder="1" applyAlignment="1">
      <alignment wrapText="1"/>
    </xf>
    <xf numFmtId="4" fontId="2" fillId="0" borderId="12" xfId="0" applyNumberFormat="1" applyFont="1" applyBorder="1" applyAlignment="1">
      <alignment wrapText="1"/>
    </xf>
    <xf numFmtId="0" fontId="0" fillId="0" borderId="0" xfId="0" applyAlignment="1" applyProtection="1">
      <alignment horizontal="left" vertical="top" wrapText="1"/>
      <protection locked="0"/>
    </xf>
    <xf numFmtId="4" fontId="1" fillId="8" borderId="0" xfId="0" applyNumberFormat="1" applyFont="1" applyFill="1" applyAlignment="1" applyProtection="1">
      <alignment wrapText="1"/>
      <protection locked="0"/>
    </xf>
    <xf numFmtId="4" fontId="1" fillId="0" borderId="9" xfId="0" applyNumberFormat="1" applyFont="1" applyFill="1" applyBorder="1" applyAlignment="1">
      <alignment vertical="center" wrapText="1"/>
    </xf>
    <xf numFmtId="0" fontId="0" fillId="0" borderId="11" xfId="0" applyFill="1" applyBorder="1" applyAlignment="1">
      <alignment wrapText="1"/>
    </xf>
    <xf numFmtId="0" fontId="0" fillId="0" borderId="12" xfId="0" applyFill="1" applyBorder="1" applyAlignment="1">
      <alignment wrapText="1"/>
    </xf>
    <xf numFmtId="4" fontId="1" fillId="0" borderId="1" xfId="0" applyNumberFormat="1" applyFont="1" applyBorder="1" applyAlignment="1">
      <alignment wrapText="1"/>
    </xf>
    <xf numFmtId="0" fontId="1" fillId="0" borderId="1" xfId="0" applyFont="1" applyBorder="1" applyAlignment="1">
      <alignment wrapText="1"/>
    </xf>
    <xf numFmtId="4" fontId="25" fillId="9" borderId="9" xfId="0" applyNumberFormat="1" applyFont="1" applyFill="1" applyBorder="1" applyAlignment="1">
      <alignment vertical="center" wrapText="1"/>
    </xf>
    <xf numFmtId="0" fontId="26" fillId="9" borderId="11" xfId="0" applyFont="1" applyFill="1" applyBorder="1" applyAlignment="1">
      <alignment vertical="center" wrapText="1"/>
    </xf>
    <xf numFmtId="0" fontId="26" fillId="9" borderId="12" xfId="0" applyFont="1" applyFill="1" applyBorder="1" applyAlignment="1">
      <alignment vertical="center" wrapText="1"/>
    </xf>
    <xf numFmtId="4" fontId="1" fillId="0" borderId="1" xfId="0" quotePrefix="1" applyNumberFormat="1" applyFont="1" applyBorder="1" applyAlignment="1">
      <alignment wrapText="1"/>
    </xf>
    <xf numFmtId="0" fontId="0" fillId="0" borderId="1" xfId="0" applyBorder="1" applyAlignment="1">
      <alignment wrapText="1"/>
    </xf>
    <xf numFmtId="4" fontId="23" fillId="0" borderId="0" xfId="0" applyNumberFormat="1" applyFont="1" applyAlignment="1">
      <alignment wrapText="1"/>
    </xf>
    <xf numFmtId="0" fontId="23" fillId="0" borderId="0" xfId="0" applyFont="1" applyAlignment="1">
      <alignment wrapText="1"/>
    </xf>
    <xf numFmtId="4" fontId="1" fillId="0" borderId="1" xfId="0" quotePrefix="1" applyNumberFormat="1" applyFont="1" applyFill="1" applyBorder="1" applyAlignment="1">
      <alignment wrapText="1"/>
    </xf>
    <xf numFmtId="0" fontId="0" fillId="0" borderId="1" xfId="0" applyFill="1" applyBorder="1" applyAlignment="1">
      <alignment wrapText="1"/>
    </xf>
    <xf numFmtId="4" fontId="2" fillId="0" borderId="9" xfId="0" quotePrefix="1" applyNumberFormat="1" applyFont="1" applyBorder="1" applyAlignment="1">
      <alignment wrapText="1"/>
    </xf>
    <xf numFmtId="4" fontId="3" fillId="0" borderId="9" xfId="0" quotePrefix="1" applyNumberFormat="1" applyFont="1" applyBorder="1" applyAlignment="1">
      <alignment wrapText="1"/>
    </xf>
    <xf numFmtId="4" fontId="1" fillId="0" borderId="1" xfId="0" applyNumberFormat="1" applyFont="1" applyFill="1" applyBorder="1" applyAlignment="1">
      <alignment wrapText="1"/>
    </xf>
    <xf numFmtId="0" fontId="1" fillId="0" borderId="1" xfId="0" applyFont="1" applyFill="1" applyBorder="1" applyAlignment="1">
      <alignment wrapText="1"/>
    </xf>
    <xf numFmtId="0" fontId="23" fillId="0" borderId="0" xfId="12" applyFont="1" applyAlignment="1">
      <alignment horizontal="left" wrapText="1"/>
    </xf>
    <xf numFmtId="0" fontId="1" fillId="10" borderId="0" xfId="12" applyFont="1" applyFill="1" applyAlignment="1">
      <alignment horizontal="center" vertical="center"/>
    </xf>
    <xf numFmtId="0" fontId="1" fillId="0" borderId="0" xfId="12" applyFont="1" applyAlignment="1">
      <alignment horizontal="center" vertical="center"/>
    </xf>
    <xf numFmtId="4" fontId="1" fillId="8" borderId="0" xfId="12" applyNumberFormat="1" applyFont="1" applyFill="1" applyAlignment="1">
      <alignment horizontal="center" vertical="center"/>
    </xf>
    <xf numFmtId="0" fontId="2" fillId="0" borderId="1" xfId="12" applyFont="1" applyBorder="1" applyAlignment="1">
      <alignment horizontal="center" vertical="center" wrapText="1"/>
    </xf>
    <xf numFmtId="0" fontId="20" fillId="0" borderId="15" xfId="12" applyFont="1" applyBorder="1" applyAlignment="1">
      <alignment horizontal="center"/>
    </xf>
    <xf numFmtId="0" fontId="20" fillId="0" borderId="2" xfId="12" applyFont="1" applyBorder="1" applyAlignment="1">
      <alignment horizontal="center"/>
    </xf>
    <xf numFmtId="0" fontId="20" fillId="0" borderId="3" xfId="12" applyFont="1" applyBorder="1" applyAlignment="1">
      <alignment horizontal="center"/>
    </xf>
    <xf numFmtId="0" fontId="2" fillId="0" borderId="0" xfId="12" applyFont="1" applyAlignment="1">
      <alignment horizontal="left"/>
    </xf>
    <xf numFmtId="0" fontId="1" fillId="0" borderId="0" xfId="12" applyFont="1" applyAlignment="1">
      <alignment vertical="center"/>
    </xf>
    <xf numFmtId="0" fontId="1" fillId="8" borderId="0" xfId="0" applyFont="1" applyFill="1" applyAlignment="1" applyProtection="1">
      <alignment vertical="top" wrapText="1"/>
      <protection locked="0"/>
    </xf>
    <xf numFmtId="0" fontId="0" fillId="0" borderId="0" xfId="0" applyAlignment="1">
      <alignment vertical="top" wrapText="1"/>
    </xf>
    <xf numFmtId="0" fontId="0" fillId="0" borderId="0" xfId="0" applyAlignment="1">
      <alignment horizontal="center" vertical="center"/>
    </xf>
    <xf numFmtId="0" fontId="0" fillId="0" borderId="0" xfId="0" applyAlignment="1" applyProtection="1">
      <alignment horizontal="center" vertical="center"/>
    </xf>
    <xf numFmtId="0" fontId="0" fillId="8" borderId="0" xfId="0" applyFill="1" applyAlignment="1" applyProtection="1">
      <alignment horizontal="center" vertical="center"/>
      <protection locked="0"/>
    </xf>
    <xf numFmtId="0" fontId="2" fillId="0" borderId="9" xfId="0" applyFont="1" applyBorder="1" applyAlignment="1">
      <alignment horizontal="left" wrapText="1"/>
    </xf>
    <xf numFmtId="4" fontId="3" fillId="0" borderId="0" xfId="0" applyNumberFormat="1" applyFont="1" applyAlignment="1">
      <alignment horizontal="left" vertical="center"/>
    </xf>
    <xf numFmtId="0" fontId="1" fillId="0" borderId="9" xfId="0" applyFont="1" applyBorder="1" applyAlignment="1">
      <alignment horizontal="left" wrapText="1"/>
    </xf>
    <xf numFmtId="0" fontId="1" fillId="0" borderId="1" xfId="0" applyFont="1" applyBorder="1" applyAlignment="1">
      <alignment horizontal="left" wrapText="1"/>
    </xf>
    <xf numFmtId="4" fontId="25" fillId="9" borderId="1" xfId="0" applyNumberFormat="1" applyFont="1" applyFill="1" applyBorder="1" applyAlignment="1">
      <alignment horizontal="left" vertical="center" wrapText="1"/>
    </xf>
    <xf numFmtId="0" fontId="0" fillId="0" borderId="1" xfId="0" applyBorder="1" applyAlignment="1">
      <alignment horizontal="left" vertical="center" wrapText="1"/>
    </xf>
    <xf numFmtId="3" fontId="1" fillId="7" borderId="0" xfId="1" applyNumberFormat="1" applyFont="1" applyFill="1" applyBorder="1" applyAlignment="1" applyProtection="1">
      <protection locked="0"/>
    </xf>
    <xf numFmtId="0" fontId="0" fillId="0" borderId="0" xfId="0" applyAlignment="1"/>
    <xf numFmtId="4" fontId="1" fillId="0" borderId="11" xfId="0" applyNumberFormat="1" applyFont="1" applyBorder="1" applyAlignment="1">
      <alignment vertical="center" wrapText="1"/>
    </xf>
    <xf numFmtId="4" fontId="1" fillId="0" borderId="12" xfId="0" applyNumberFormat="1" applyFont="1" applyBorder="1" applyAlignment="1">
      <alignment vertical="center" wrapText="1"/>
    </xf>
    <xf numFmtId="4" fontId="0" fillId="0" borderId="1" xfId="0" applyNumberFormat="1" applyBorder="1" applyAlignment="1">
      <alignment vertical="center" wrapText="1"/>
    </xf>
    <xf numFmtId="0" fontId="0" fillId="0" borderId="1" xfId="0" applyBorder="1"/>
    <xf numFmtId="0" fontId="0" fillId="0" borderId="10" xfId="0" applyBorder="1" applyAlignment="1">
      <alignment horizontal="center" vertical="center"/>
    </xf>
    <xf numFmtId="0" fontId="0" fillId="0" borderId="13" xfId="0" applyBorder="1"/>
    <xf numFmtId="0" fontId="0" fillId="0" borderId="14" xfId="0" applyBorder="1"/>
    <xf numFmtId="4" fontId="4" fillId="7" borderId="15"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4" fontId="4" fillId="7" borderId="4" xfId="0" applyNumberFormat="1" applyFont="1" applyFill="1" applyBorder="1" applyAlignment="1" applyProtection="1">
      <alignment wrapText="1"/>
      <protection locked="0"/>
    </xf>
    <xf numFmtId="0" fontId="0" fillId="0" borderId="5" xfId="0" applyBorder="1" applyAlignment="1" applyProtection="1">
      <alignment wrapText="1"/>
      <protection locked="0"/>
    </xf>
    <xf numFmtId="4" fontId="4" fillId="7" borderId="6" xfId="0" applyNumberFormat="1" applyFont="1" applyFill="1"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4" fontId="1" fillId="7" borderId="9" xfId="0" applyNumberFormat="1" applyFont="1" applyFill="1" applyBorder="1" applyAlignment="1" applyProtection="1">
      <alignment wrapText="1"/>
      <protection locked="0"/>
    </xf>
    <xf numFmtId="4" fontId="1" fillId="7" borderId="12" xfId="0" applyNumberFormat="1" applyFont="1" applyFill="1" applyBorder="1" applyAlignment="1" applyProtection="1">
      <alignment wrapText="1"/>
      <protection locked="0"/>
    </xf>
    <xf numFmtId="4" fontId="1" fillId="2" borderId="9" xfId="0" applyNumberFormat="1" applyFont="1" applyFill="1" applyBorder="1" applyAlignment="1" applyProtection="1">
      <alignment wrapText="1"/>
      <protection locked="0"/>
    </xf>
    <xf numFmtId="4" fontId="1" fillId="2" borderId="12" xfId="0" applyNumberFormat="1" applyFont="1" applyFill="1" applyBorder="1" applyAlignment="1" applyProtection="1">
      <alignment wrapText="1"/>
      <protection locked="0"/>
    </xf>
    <xf numFmtId="4" fontId="2" fillId="0" borderId="2" xfId="0" applyNumberFormat="1" applyFont="1" applyBorder="1" applyAlignment="1">
      <alignment horizontal="right" wrapText="1"/>
    </xf>
    <xf numFmtId="0" fontId="2" fillId="0" borderId="2" xfId="0" applyFont="1" applyBorder="1" applyAlignment="1">
      <alignment horizontal="right" wrapText="1"/>
    </xf>
    <xf numFmtId="4" fontId="4" fillId="7" borderId="0" xfId="0" applyNumberFormat="1" applyFont="1" applyFill="1" applyAlignment="1" applyProtection="1">
      <alignment wrapText="1"/>
      <protection locked="0"/>
    </xf>
    <xf numFmtId="4" fontId="4" fillId="2" borderId="12" xfId="0" applyNumberFormat="1" applyFont="1" applyFill="1" applyBorder="1" applyAlignment="1" applyProtection="1">
      <alignment wrapText="1"/>
      <protection locked="0"/>
    </xf>
    <xf numFmtId="4" fontId="2" fillId="0" borderId="9"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 fontId="4" fillId="7" borderId="9" xfId="0" applyNumberFormat="1" applyFont="1" applyFill="1" applyBorder="1" applyAlignment="1" applyProtection="1">
      <alignment wrapText="1"/>
      <protection locked="0"/>
    </xf>
    <xf numFmtId="4" fontId="4" fillId="7" borderId="12" xfId="0" applyNumberFormat="1" applyFont="1" applyFill="1" applyBorder="1" applyAlignment="1" applyProtection="1">
      <alignment wrapText="1"/>
      <protection locked="0"/>
    </xf>
    <xf numFmtId="4" fontId="4" fillId="2" borderId="9" xfId="0" applyNumberFormat="1" applyFont="1" applyFill="1" applyBorder="1" applyAlignment="1" applyProtection="1">
      <alignment wrapText="1"/>
      <protection locked="0"/>
    </xf>
    <xf numFmtId="0" fontId="2" fillId="0" borderId="9" xfId="0" applyFont="1" applyBorder="1" applyAlignment="1">
      <alignment horizontal="center"/>
    </xf>
    <xf numFmtId="0" fontId="2" fillId="0" borderId="12" xfId="0" applyFont="1" applyBorder="1" applyAlignment="1">
      <alignment horizontal="center"/>
    </xf>
    <xf numFmtId="4" fontId="1" fillId="0" borderId="1" xfId="0" applyNumberFormat="1" applyFont="1" applyBorder="1" applyAlignment="1">
      <alignment horizontal="left" wrapText="1"/>
    </xf>
  </cellXfs>
  <cellStyles count="14">
    <cellStyle name="Dezimal 2" xfId="2" xr:uid="{00000000-0005-0000-0000-000000000000}"/>
    <cellStyle name="Dezimal 3" xfId="3" xr:uid="{00000000-0005-0000-0000-000001000000}"/>
    <cellStyle name="Euro" xfId="4" xr:uid="{00000000-0005-0000-0000-000002000000}"/>
    <cellStyle name="Komma" xfId="1" builtinId="3"/>
    <cellStyle name="Link" xfId="13" builtinId="8"/>
    <cellStyle name="Normal 2" xfId="12" xr:uid="{00000000-0005-0000-0000-000006000000}"/>
    <cellStyle name="Prozent" xfId="6" builtinId="5"/>
    <cellStyle name="Prozent 2" xfId="5" xr:uid="{00000000-0005-0000-0000-000008000000}"/>
    <cellStyle name="Prozent 2 2" xfId="7" xr:uid="{00000000-0005-0000-0000-000009000000}"/>
    <cellStyle name="Prozent 2 2 2" xfId="9" xr:uid="{00000000-0005-0000-0000-00000A000000}"/>
    <cellStyle name="Standard" xfId="0" builtinId="0"/>
    <cellStyle name="Standard 2" xfId="8" xr:uid="{00000000-0005-0000-0000-00000B000000}"/>
    <cellStyle name="Standard 2 2" xfId="11" xr:uid="{00000000-0005-0000-0000-00000C000000}"/>
    <cellStyle name="Standard 3" xfId="10" xr:uid="{00000000-0005-0000-0000-00000D000000}"/>
  </cellStyles>
  <dxfs count="11">
    <dxf>
      <border>
        <bottom style="thin">
          <color indexed="64"/>
        </bottom>
      </border>
    </dxf>
    <dxf>
      <border>
        <bottom style="thin">
          <color indexed="64"/>
        </bottom>
      </border>
    </dxf>
    <dxf>
      <border>
        <left/>
        <right/>
      </border>
    </dxf>
    <dxf>
      <border>
        <left/>
        <right/>
      </border>
    </dxf>
    <dxf>
      <border>
        <left/>
        <right/>
      </border>
    </dxf>
    <dxf>
      <border>
        <left/>
        <right/>
      </border>
    </dxf>
    <dxf>
      <border>
        <left/>
        <right/>
        <top/>
        <bottom/>
        <vertical/>
      </border>
    </dxf>
    <dxf>
      <border>
        <left/>
        <right/>
        <top/>
        <bottom/>
        <vertical/>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numFmt numFmtId="35" formatCode="_ * #,##0.00_ ;_ * \-#,##0.00_ ;_ * &quot;-&quot;??_ ;_ @_ "/>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G_ZV_GS_TRAD\AIS-OIAS\Finanzen%20und%20Revision%20-%20Finances%20et%20r&#233;vision\Finances\ISCB-d&#233;compte%20aide%20sociale\2024\RtKb%202024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samtübersicht"/>
      <sheetName val="tableImport"/>
      <sheetName val="tableImportPivot"/>
      <sheetName val="2 Wirtschaftliche Hilfe "/>
      <sheetName val="2a Wi. Hilfe Personen"/>
      <sheetName val="2b Wi. Hilfe Zusammenzug"/>
      <sheetName val="2c Glossar Ink.prov."/>
      <sheetName val="2d Spez Kosten wi Hilfe"/>
      <sheetName val="2e Notfallkosten wi Hilfe"/>
      <sheetName val="3 Kinderalimente"/>
      <sheetName val="3a Kinderali Zusammen"/>
      <sheetName val="4 Fallpauschalen Besold"/>
      <sheetName val="4a Fälle präv. Beratung"/>
      <sheetName val="4b Fälle Inkasso+Bevorschussung"/>
      <sheetName val="7 Jugendarbeit"/>
      <sheetName val="8 Obdach-Wohn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Zbinden Markus, GSI-AIS" refreshedDate="45546.652466203705" createdVersion="8" refreshedVersion="8" minRefreshableVersion="3" recordCount="484" xr:uid="{00000000-000A-0000-FFFF-FFFF1B000000}">
  <cacheSource type="worksheet">
    <worksheetSource ref="A1:L485" sheet="tableImport"/>
  </cacheSource>
  <cacheFields count="12">
    <cacheField name="Nr. Abrechnungsstelle" numFmtId="0">
      <sharedItems count="2">
        <s v="-SHR"/>
        <s v="999.9-SHR" u="1"/>
      </sharedItems>
    </cacheField>
    <cacheField name="Nr. Gemeinde" numFmtId="0">
      <sharedItems count="7">
        <s v=""/>
        <s v="0"/>
        <s v="200" u="1"/>
        <s v="300" u="1"/>
        <s v="400" u="1"/>
        <s v="999.9" u="1"/>
        <s v="100" u="1"/>
      </sharedItems>
    </cacheField>
    <cacheField name="Titel Produkt" numFmtId="0">
      <sharedItems/>
    </cacheField>
    <cacheField name="Titel Wertelement" numFmtId="0">
      <sharedItems/>
    </cacheField>
    <cacheField name="Ref Produkt" numFmtId="0">
      <sharedItems/>
    </cacheField>
    <cacheField name="Ref Wertelement" numFmtId="0">
      <sharedItems/>
    </cacheField>
    <cacheField name="Wert" numFmtId="4">
      <sharedItems containsMixedTypes="1" containsNumber="1" minValue="0" maxValue="2450"/>
    </cacheField>
    <cacheField name="Aufwand/Ertrag" numFmtId="0">
      <sharedItems/>
    </cacheField>
    <cacheField name="Titel Produkt Summe" numFmtId="0">
      <sharedItems count="2">
        <s v=""/>
        <s v="Total" u="1"/>
      </sharedItems>
    </cacheField>
    <cacheField name="Titel Wertelement Summe" numFmtId="0">
      <sharedItems count="3">
        <s v=""/>
        <s v="Total Aufwand" u="1"/>
        <s v="Total Ertrag" u="1"/>
      </sharedItems>
    </cacheField>
    <cacheField name="Ref Produkt Summe" numFmtId="0">
      <sharedItems count="2">
        <s v=""/>
        <s v="999999999.99" u="1"/>
      </sharedItems>
    </cacheField>
    <cacheField name="Ref Wertelement Summe" numFmtId="0">
      <sharedItems count="3">
        <s v=""/>
        <s v="900" u="1"/>
        <s v="90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Prämienverbilligungen KVG ohne Inkassoprivileg"/>
    <s v="915001001.11;INITKOLA=DSHR;"/>
    <s v="1005"/>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Spezielle Kosten wirtschaftliche Hilfe"/>
    <s v="Aufwand"/>
    <s v="915001001.12"/>
    <s v="1000"/>
    <n v="0"/>
    <s v=""/>
    <x v="0"/>
    <x v="0"/>
    <x v="0"/>
    <x v="0"/>
  </r>
  <r>
    <x v="0"/>
    <x v="0"/>
    <s v="Notfallkosten"/>
    <s v="Aufwand"/>
    <s v="915001001.13"/>
    <s v="1000"/>
    <n v="0"/>
    <s v=""/>
    <x v="0"/>
    <x v="0"/>
    <x v="0"/>
    <x v="0"/>
  </r>
  <r>
    <x v="0"/>
    <x v="0"/>
    <s v="Tagi-Angebote"/>
    <s v="Aufwand"/>
    <s v="916001001.13"/>
    <s v="1000"/>
    <n v="0"/>
    <s v=""/>
    <x v="0"/>
    <x v="0"/>
    <x v="0"/>
    <x v="0"/>
  </r>
  <r>
    <x v="0"/>
    <x v="0"/>
    <s v="Offene Kinder- und Jugendarbeit"/>
    <s v="Aufwand"/>
    <s v="916001003.11"/>
    <s v="1000"/>
    <n v="0"/>
    <s v=""/>
    <x v="0"/>
    <x v="0"/>
    <x v="0"/>
    <x v="0"/>
  </r>
  <r>
    <x v="0"/>
    <x v="0"/>
    <s v="Obdach/Wohnen"/>
    <s v="Aufwand"/>
    <s v="916002007.11"/>
    <s v="1000"/>
    <n v="0"/>
    <s v=""/>
    <x v="0"/>
    <x v="0"/>
    <x v="0"/>
    <x v="0"/>
  </r>
  <r>
    <x v="0"/>
    <x v="0"/>
    <s v="Statistische Werte"/>
    <s v="Nettoaufwand RtKb"/>
    <s v="915001001.48"/>
    <s v="shr_04_RtKb"/>
    <n v="0"/>
    <s v=""/>
    <x v="0"/>
    <x v="0"/>
    <x v="0"/>
    <x v="0"/>
  </r>
  <r>
    <x v="0"/>
    <x v="0"/>
    <s v="Statistische Werte"/>
    <s v="Effektiv ausgerichtete Besoldungsaufwendungen"/>
    <s v="915001001.48"/>
    <s v="bk_effektiveAufwendungen"/>
    <n v="0"/>
    <s v=""/>
    <x v="0"/>
    <x v="0"/>
    <x v="0"/>
    <x v="0"/>
  </r>
  <r>
    <x v="0"/>
    <x v="0"/>
    <s v="Statistische Werte"/>
    <s v="Effektiv ausgerichtete Weiterbildungskosten"/>
    <s v="915001001.48"/>
    <s v="bk_effektiveWeiterbildungskosten"/>
    <n v="0"/>
    <s v=""/>
    <x v="0"/>
    <x v="0"/>
    <x v="0"/>
    <x v="0"/>
  </r>
  <r>
    <x v="0"/>
    <x v="0"/>
    <s v="PraktikantInnen"/>
    <s v="PraktikantInnen in CHF"/>
    <s v="915001001.46"/>
    <s v="bk_fallpauschale"/>
    <n v="0"/>
    <s v=""/>
    <x v="0"/>
    <x v="0"/>
    <x v="0"/>
    <x v="0"/>
  </r>
  <r>
    <x v="0"/>
    <x v="0"/>
    <s v="Statistische Werte"/>
    <s v="Total Sozialdienstpersonal"/>
    <s v="915001001.48"/>
    <s v="bk_totalAufwandSozialdienstpersonal"/>
    <n v="0"/>
    <s v=""/>
    <x v="0"/>
    <x v="0"/>
    <x v="0"/>
    <x v="0"/>
  </r>
  <r>
    <x v="0"/>
    <x v="0"/>
    <s v="Wirtschaftliche Hilfe"/>
    <s v="Anzahl Fälle wirtschaftliche Hilfe (WH)"/>
    <s v="915001001.41"/>
    <s v="bk_wh_anzahlFaelleTotal"/>
    <n v="0"/>
    <s v=""/>
    <x v="0"/>
    <x v="0"/>
    <x v="0"/>
    <x v="0"/>
  </r>
  <r>
    <x v="0"/>
    <x v="0"/>
    <s v="Wirtschaftliche Hilfe"/>
    <s v="Anzahl Inkassodossiers"/>
    <s v="915001001.41"/>
    <s v="bk_wh_anzahlInkassodossiers"/>
    <n v="0"/>
    <s v=""/>
    <x v="0"/>
    <x v="0"/>
    <x v="0"/>
    <x v="0"/>
  </r>
  <r>
    <x v="0"/>
    <x v="0"/>
    <s v="Wirtschaftliche Hilfe"/>
    <s v="Anzahl Fälle ohne Inkassodossiers"/>
    <s v="915001001.41"/>
    <s v="bk_anzahlFaelleOhneInkassodossiers"/>
    <n v="0"/>
    <s v=""/>
    <x v="0"/>
    <x v="0"/>
    <x v="0"/>
    <x v="0"/>
  </r>
  <r>
    <x v="0"/>
    <x v="0"/>
    <s v="Wirtschaftliche Hilfe"/>
    <s v="Anzahl Fälle ohne Notfallkosten"/>
    <s v="915001001.41"/>
    <s v="bk_anzahlFaelleNotfallkosten"/>
    <n v="0"/>
    <s v=""/>
    <x v="0"/>
    <x v="0"/>
    <x v="0"/>
    <x v="0"/>
  </r>
  <r>
    <x v="0"/>
    <x v="0"/>
    <s v="Wirtschaftliche Hilfe"/>
    <s v="Anzahl Fälle WH ohne Inkassodossiers"/>
    <s v="915001001.41"/>
    <s v="bk_anzahlFaelleMassgabe"/>
    <n v="0"/>
    <s v=""/>
    <x v="0"/>
    <x v="0"/>
    <x v="0"/>
    <x v="0"/>
  </r>
  <r>
    <x v="0"/>
    <x v="1"/>
    <s v="Wirtschaftliche Hilfe"/>
    <s v="Pauschale Fälle WH in CHF"/>
    <s v="915001001.41"/>
    <s v="bk_pauschaleProFall"/>
    <n v="2450"/>
    <s v=""/>
    <x v="0"/>
    <x v="0"/>
    <x v="0"/>
    <x v="0"/>
  </r>
  <r>
    <x v="0"/>
    <x v="0"/>
    <s v="Wirtschaftliche Hilfe"/>
    <s v="Fallpauschale WH ohne Inkassodossiers in CHF"/>
    <s v="915001001.41"/>
    <s v="bk_fallpauschale"/>
    <n v="0"/>
    <s v=""/>
    <x v="0"/>
    <x v="0"/>
    <x v="0"/>
    <x v="0"/>
  </r>
  <r>
    <x v="0"/>
    <x v="0"/>
    <s v="Wirtschaftliche Hilfe KFSG"/>
    <s v="Anzahl Fälle WH KFSG"/>
    <s v="915001001.49"/>
    <s v="bk_whkfsg_anzahlFaelle"/>
    <n v="0"/>
    <s v=""/>
    <x v="0"/>
    <x v="0"/>
    <x v="0"/>
    <x v="0"/>
  </r>
  <r>
    <x v="0"/>
    <x v="0"/>
    <s v="Wirtschaftliche Hilfe KFSG"/>
    <s v="Massgebende Anzahl Fälle WH KFSG"/>
    <s v="915001001.49"/>
    <s v="bk_anzahlFaelleMassgabe"/>
    <n v="0"/>
    <s v=""/>
    <x v="0"/>
    <x v="0"/>
    <x v="0"/>
    <x v="0"/>
  </r>
  <r>
    <x v="0"/>
    <x v="1"/>
    <s v="Wirtschaftliche Hilfe KFSG"/>
    <s v="Fallpauschale WH KFSG"/>
    <s v="915001001.49"/>
    <s v="bk_pauschaleProFall"/>
    <n v="2450"/>
    <s v=""/>
    <x v="0"/>
    <x v="0"/>
    <x v="0"/>
    <x v="0"/>
  </r>
  <r>
    <x v="0"/>
    <x v="0"/>
    <s v="Wirtschaftliche Hilfe KFSG"/>
    <s v="Fallpauschale WH KFSG"/>
    <s v="915001001.49"/>
    <s v="bk_fallpauschale"/>
    <n v="0"/>
    <s v=""/>
    <x v="0"/>
    <x v="0"/>
    <x v="0"/>
    <x v="0"/>
  </r>
  <r>
    <x v="0"/>
    <x v="0"/>
    <s v="Präventive Beratung"/>
    <s v="Anzahl Fälle präventive Beratung"/>
    <s v="915001001.43"/>
    <s v="bk_pb_anzahlFaelle"/>
    <n v="0"/>
    <s v=""/>
    <x v="0"/>
    <x v="0"/>
    <x v="0"/>
    <x v="0"/>
  </r>
  <r>
    <x v="0"/>
    <x v="0"/>
    <s v="Präventive Beratung"/>
    <s v="Maximal zulässig = 25% (ohne Inkassodossiers) WH"/>
    <s v="915001001.43"/>
    <s v="bk_pb_anzahlFaelleMax"/>
    <n v="0"/>
    <s v=""/>
    <x v="0"/>
    <x v="0"/>
    <x v="0"/>
    <x v="0"/>
  </r>
  <r>
    <x v="0"/>
    <x v="0"/>
    <s v="Präventive Beratung"/>
    <s v="Massgebende Anzahl Fälle präventive Beratung"/>
    <s v="915001001.43"/>
    <s v="bk_anzahlFaelleMassgabe"/>
    <n v="0"/>
    <s v=""/>
    <x v="0"/>
    <x v="0"/>
    <x v="0"/>
    <x v="0"/>
  </r>
  <r>
    <x v="0"/>
    <x v="1"/>
    <s v="Präventive Beratung"/>
    <s v="Pauschale Fälle präventive Beratung in CHF"/>
    <s v="915001001.43"/>
    <s v="bk_pauschaleProFall"/>
    <n v="1225"/>
    <s v=""/>
    <x v="0"/>
    <x v="0"/>
    <x v="0"/>
    <x v="0"/>
  </r>
  <r>
    <x v="0"/>
    <x v="0"/>
    <s v="Präventive Beratung"/>
    <s v="Fallpauschale präventive Beratung in CHF"/>
    <s v="915001001.43"/>
    <s v="bk_fallpauschale"/>
    <n v="0"/>
    <s v=""/>
    <x v="0"/>
    <x v="0"/>
    <x v="0"/>
    <x v="0"/>
  </r>
  <r>
    <x v="0"/>
    <x v="0"/>
    <s v="Inkasso von Unterhaltsbeiträgen"/>
    <s v="Anzahl Fälle Reine Inkassodossiers Kindesunterhalt"/>
    <s v="915001001.42"/>
    <s v="bk_ub_anzahlFaelleKindesunterhalt"/>
    <n v="0"/>
    <s v=""/>
    <x v="0"/>
    <x v="0"/>
    <x v="0"/>
    <x v="0"/>
  </r>
  <r>
    <x v="0"/>
    <x v="0"/>
    <s v="Inkasso von Unterhaltsbeiträgen"/>
    <s v="Anzahl Fälle Nachehelicher Unterhalt"/>
    <s v="915001001.42"/>
    <s v="bk_ub_anzahlFaelleNachehelicherUnterhalt"/>
    <n v="0"/>
    <s v=""/>
    <x v="0"/>
    <x v="0"/>
    <x v="0"/>
    <x v="0"/>
  </r>
  <r>
    <x v="0"/>
    <x v="0"/>
    <s v="Inkasso von Unterhaltsbeiträgen"/>
    <s v="Anzahl Fälle Inkassodossiers aktiv"/>
    <s v="915001001.42"/>
    <s v="bk_ub_anzahlFaelleInkassodossiersAktiv"/>
    <n v="0"/>
    <s v=""/>
    <x v="0"/>
    <x v="0"/>
    <x v="0"/>
    <x v="0"/>
  </r>
  <r>
    <x v="0"/>
    <x v="0"/>
    <s v="Inkasso von Unterhaltsbeiträgen"/>
    <s v="Anzahl Fälle Inkassodossiers abgeschlossen"/>
    <s v="915001001.42"/>
    <s v="bk_ub_anzahlFaelleInkassodossiersAbgeschlossen"/>
    <n v="0"/>
    <s v=""/>
    <x v="0"/>
    <x v="0"/>
    <x v="0"/>
    <x v="0"/>
  </r>
  <r>
    <x v="0"/>
    <x v="0"/>
    <s v="Inkasso von Unterhaltsbeiträgen"/>
    <s v="Anzahl Fälle Reine Verlustscheinverwaltungsdossiers"/>
    <s v="915001001.42"/>
    <s v="bk_ub_anzahlFaelleVerlustschein"/>
    <n v="0"/>
    <s v=""/>
    <x v="0"/>
    <x v="0"/>
    <x v="0"/>
    <x v="0"/>
  </r>
  <r>
    <x v="0"/>
    <x v="0"/>
    <s v="Inkasso von Unterhaltsbeiträgen"/>
    <s v="Total Anzahl Fälle Inkasso von Unterhaltsbeiträgen"/>
    <s v="915001001.42"/>
    <s v="bk_anzahlFaelleMassgabe"/>
    <n v="0"/>
    <s v=""/>
    <x v="0"/>
    <x v="0"/>
    <x v="0"/>
    <x v="0"/>
  </r>
  <r>
    <x v="0"/>
    <x v="1"/>
    <s v="Inkasso von Unterhaltsbeiträgen"/>
    <s v="Pauschale Fälle Inkasso von Unterhaltsbeiträgen in CHF"/>
    <s v="915001001.42"/>
    <s v="bk_pauschaleProFall"/>
    <n v="397"/>
    <s v=""/>
    <x v="0"/>
    <x v="0"/>
    <x v="0"/>
    <x v="0"/>
  </r>
  <r>
    <x v="0"/>
    <x v="0"/>
    <s v="Inkasso von Unterhaltsbeiträgen"/>
    <s v="Fallpauschale Inkasso von Unterhaltsbeiträgen in CHF"/>
    <s v="915001001.42"/>
    <s v="bk_fallpauschale"/>
    <n v="0"/>
    <s v=""/>
    <x v="0"/>
    <x v="0"/>
    <x v="0"/>
    <x v="0"/>
  </r>
  <r>
    <x v="0"/>
    <x v="0"/>
    <s v="Bevorschussung von Unterhaltsbeiträgen"/>
    <s v="Anzahl Fälle Bevorschussung Kindesunterhalt"/>
    <s v="915001001.44"/>
    <s v="bk_bu_anzahlFaelle"/>
    <n v="0"/>
    <s v=""/>
    <x v="0"/>
    <x v="0"/>
    <x v="0"/>
    <x v="0"/>
  </r>
  <r>
    <x v="0"/>
    <x v="0"/>
    <s v="Bevorschussung von Unterhaltsbeiträgen"/>
    <s v="Anzahl Fälle Rückerstattung"/>
    <s v="915001001.44"/>
    <s v="bk_bu_anzahlFaelleRueckerstattung"/>
    <n v="0"/>
    <s v=""/>
    <x v="0"/>
    <x v="0"/>
    <x v="0"/>
    <x v="0"/>
  </r>
  <r>
    <x v="0"/>
    <x v="0"/>
    <s v="Bevorschussung von Unterhaltsbeiträgen"/>
    <s v="Total Anzahl Fälle"/>
    <s v="915001001.44"/>
    <s v="bk_anzahlFaelleMassgabe"/>
    <n v="0"/>
    <s v=""/>
    <x v="0"/>
    <x v="0"/>
    <x v="0"/>
    <x v="0"/>
  </r>
  <r>
    <x v="0"/>
    <x v="1"/>
    <s v="Bevorschussung von Unterhaltsbeiträgen"/>
    <s v="Pauschale Fälle Bevorschussung Kindesunterhalt in CHF"/>
    <s v="915001001.44"/>
    <s v="bk_pauschaleProFall"/>
    <n v="516"/>
    <s v=""/>
    <x v="0"/>
    <x v="0"/>
    <x v="0"/>
    <x v="0"/>
  </r>
  <r>
    <x v="0"/>
    <x v="0"/>
    <s v="Bevorschussung von Unterhaltsbeiträgen"/>
    <s v="Fallpauschale Bevorschussung Kindesunterhalt in CHF"/>
    <s v="915001001.44"/>
    <s v="bk_fallpauschale"/>
    <n v="0"/>
    <s v=""/>
    <x v="0"/>
    <x v="0"/>
    <x v="0"/>
    <x v="0"/>
  </r>
  <r>
    <x v="0"/>
    <x v="0"/>
    <s v="Total Anzahl Fälle"/>
    <s v="Total Anzahl Fälle Pauschalabgeltung"/>
    <s v="915001001.45"/>
    <s v="bk_anzahlFaelleMassgabe"/>
    <n v="0"/>
    <s v=""/>
    <x v="0"/>
    <x v="0"/>
    <x v="0"/>
    <x v="0"/>
  </r>
  <r>
    <x v="0"/>
    <x v="0"/>
    <s v="Wirtschaftliche Hilfe"/>
    <s v="Total Fallpauschalen WH inkl. Präventive Beratung in CHF"/>
    <s v="915001001.41"/>
    <s v="bk_whpb_fallpauschale"/>
    <n v="0"/>
    <s v=""/>
    <x v="0"/>
    <x v="0"/>
    <x v="0"/>
    <x v="0"/>
  </r>
  <r>
    <x v="0"/>
    <x v="0"/>
    <s v="Wirtschaftliche Hilfe"/>
    <s v="Total Fallpauschalen Unterhaltsbeiträge in CHF"/>
    <s v="915001001.41"/>
    <s v="bk_ubbu_fallpauschale"/>
    <n v="0"/>
    <s v=""/>
    <x v="0"/>
    <x v="0"/>
    <x v="0"/>
    <x v="0"/>
  </r>
  <r>
    <x v="0"/>
    <x v="0"/>
    <s v="Wirtschaftliche Hilfe"/>
    <s v="Total Fallpauschalen WH und Unterhaltsbeiträge in CHF"/>
    <s v="915001001.41"/>
    <s v="bk_whpbubbu_fallpauschale"/>
    <n v="0"/>
    <s v=""/>
    <x v="0"/>
    <x v="0"/>
    <x v="0"/>
    <x v="0"/>
  </r>
  <r>
    <x v="0"/>
    <x v="0"/>
    <s v="Wirtschaftliche Hilfe"/>
    <s v="Total Fallpauschalen WH und Unterhaltsbeiträge (inkl. PraktikantInnen in CHF"/>
    <s v="915001001.41"/>
    <s v="bk_whpbubbu_praktikanten"/>
    <n v="0"/>
    <s v=""/>
    <x v="0"/>
    <x v="0"/>
    <x v="0"/>
    <x v="0"/>
  </r>
  <r>
    <x v="0"/>
    <x v="0"/>
    <s v="Statistische Werte"/>
    <s v="Total Aufwand BK gemäss RtKb"/>
    <s v="915001001.48"/>
    <s v="bk_aufwandInklBkRtKb"/>
    <n v="0"/>
    <s v=""/>
    <x v="0"/>
    <x v="0"/>
    <x v="0"/>
    <x v="0"/>
  </r>
  <r>
    <x v="0"/>
    <x v="0"/>
    <s v="Statistische Werte"/>
    <s v="Kosten für vertrauensärztliche Untersuchungen"/>
    <s v="915001001.48"/>
    <s v="spezKo_vertrauensarzt"/>
    <n v="0"/>
    <s v=""/>
    <x v="0"/>
    <x v="0"/>
    <x v="0"/>
    <x v="0"/>
  </r>
  <r>
    <x v="0"/>
    <x v="0"/>
    <s v="Statistische Werte"/>
    <s v="Anzahl Kinder/Jugendliche gemäss Ermächtigung"/>
    <s v="915001001.48"/>
    <s v="jugArb_anzKinder"/>
    <n v="0"/>
    <s v=""/>
    <x v="0"/>
    <x v="0"/>
    <x v="0"/>
    <x v="0"/>
  </r>
  <r>
    <x v="0"/>
    <x v="1"/>
    <s v="Statistische Werte"/>
    <s v="Kürzung Grundbetrag"/>
    <s v="915001001.48"/>
    <s v="jugArb_kuerzungGrundbetrag"/>
    <n v="84.07"/>
    <s v=""/>
    <x v="0"/>
    <x v="0"/>
    <x v="0"/>
    <x v="0"/>
  </r>
  <r>
    <x v="0"/>
    <x v="0"/>
    <s v="Statistische Werte"/>
    <s v="Zusatzbetrag"/>
    <s v="915001001.48"/>
    <s v="jugArb_zusatzbetrag"/>
    <n v="0"/>
    <s v=""/>
    <x v="0"/>
    <x v="0"/>
    <x v="0"/>
    <x v="0"/>
  </r>
  <r>
    <x v="0"/>
    <x v="0"/>
    <s v="Statistische Werte"/>
    <s v="Personalaufwand"/>
    <s v="915001001.48"/>
    <s v="jugArb_personalaufwand"/>
    <n v="0"/>
    <s v=""/>
    <x v="0"/>
    <x v="0"/>
    <x v="0"/>
    <x v="0"/>
  </r>
  <r>
    <x v="0"/>
    <x v="0"/>
    <s v="Statistische Werte"/>
    <s v="Sachaufwand"/>
    <s v="915001001.48"/>
    <s v="jugArb_sachaufwand"/>
    <n v="0"/>
    <s v=""/>
    <x v="0"/>
    <x v="0"/>
    <x v="0"/>
    <x v="0"/>
  </r>
  <r>
    <x v="0"/>
    <x v="0"/>
    <s v="Statistische Werte"/>
    <s v="Ertrag ohne freiwillige zweckbestimmte Zuwendungen Dritter/ohne Mitgliederbeiträge/ohne Beitrag Lastenausgleich/ohne Selbstbehalt Gemeinde"/>
    <s v="915001001.48"/>
    <s v="jugArb_ertrag"/>
    <n v="0"/>
    <s v=""/>
    <x v="0"/>
    <x v="0"/>
    <x v="0"/>
    <x v="0"/>
  </r>
  <r>
    <x v="0"/>
    <x v="0"/>
    <s v="Statistische Werte"/>
    <s v="Freiwillige zweckbestimmte Zuwendungen Dritter"/>
    <s v="915001001.48"/>
    <s v="jugArb_freiwZuwendungen"/>
    <n v="0"/>
    <s v=""/>
    <x v="0"/>
    <x v="0"/>
    <x v="0"/>
    <x v="0"/>
  </r>
  <r>
    <x v="0"/>
    <x v="0"/>
    <s v="Statistische Werte"/>
    <s v="Mitgliederbeiträge"/>
    <s v="915001001.48"/>
    <s v="jugArb_mitgliederbeitraege"/>
    <n v="0"/>
    <s v=""/>
    <x v="0"/>
    <x v="0"/>
    <x v="0"/>
    <x v="0"/>
  </r>
  <r>
    <x v="0"/>
    <x v="1"/>
    <s v="Statistische Werte"/>
    <s v="Kürzung anrechenbarer Beitrag"/>
    <s v="915001001.48"/>
    <s v="jugArb_kuerzungAnrBeitrag"/>
    <s v=""/>
    <s v=""/>
    <x v="0"/>
    <x v="0"/>
    <x v="0"/>
    <x v="0"/>
  </r>
  <r>
    <x v="0"/>
    <x v="0"/>
    <s v="Statistische Werte"/>
    <s v="Berechneter anrechenbarer Beitrag"/>
    <s v="915001001.48"/>
    <s v="jugArb_anrBeitrag"/>
    <n v="0"/>
    <s v=""/>
    <x v="0"/>
    <x v="0"/>
    <x v="0"/>
    <x v="0"/>
  </r>
  <r>
    <x v="0"/>
    <x v="0"/>
    <s v="Statistische Werte"/>
    <s v="Selbstbehalt Gemeinde"/>
    <s v="915001001.48"/>
    <s v="jugArb_SB"/>
    <n v="0"/>
    <s v=""/>
    <x v="0"/>
    <x v="0"/>
    <x v="0"/>
    <x v="0"/>
  </r>
  <r>
    <x v="0"/>
    <x v="0"/>
    <s v="Statistische Werte"/>
    <s v="Total"/>
    <s v="915001001.48"/>
    <s v="jugArb_anrechBeitragMinusSB"/>
    <n v="0"/>
    <s v=""/>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AufwandErtrag" cacheId="8" applyNumberFormats="0" applyBorderFormats="0" applyFontFormats="0" applyPatternFormats="0" applyAlignmentFormats="0" applyWidthHeightFormats="1" dataCaption="Werte" showMissing="0" updatedVersion="8" minRefreshableVersion="3" showDrill="0" useAutoFormatting="1" rowGrandTotals="0" colGrandTotals="0" itemPrintTitles="1" createdVersion="5" indent="0" compact="0" compactData="0" multipleFieldFilters="0" rowHeaderCaption="Nr. Abrechnungsstelle">
  <location ref="A1:G1" firstHeaderRow="1" firstDataRow="1" firstDataCol="6"/>
  <pivotFields count="12">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7">
        <item x="0"/>
        <item x="1"/>
        <item m="1" x="6"/>
        <item m="1" x="2"/>
        <item m="1" x="5"/>
        <item m="1" x="3"/>
        <item m="1"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3">
        <item x="0"/>
        <item m="1" x="2"/>
        <item m="1" x="1"/>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3">
        <item x="0"/>
        <item m="1" x="2"/>
        <item m="1" x="1"/>
      </items>
      <extLst>
        <ext xmlns:x14="http://schemas.microsoft.com/office/spreadsheetml/2009/9/main" uri="{2946ED86-A175-432a-8AC1-64E0C546D7DE}">
          <x14:pivotField fillDownLabels="1"/>
        </ext>
      </extLst>
    </pivotField>
  </pivotFields>
  <rowFields count="6">
    <field x="0"/>
    <field x="1"/>
    <field x="8"/>
    <field x="9"/>
    <field x="10"/>
    <field x="11"/>
  </rowFields>
  <colItems count="1">
    <i/>
  </colItems>
  <dataFields count="1">
    <dataField name="Summe von Wert" fld="6" baseField="0" baseItem="0" numFmtId="43"/>
  </dataFields>
  <formats count="11">
    <format dxfId="10">
      <pivotArea outline="0" collapsedLevelsAreSubtotals="1" fieldPosition="0"/>
    </format>
    <format dxfId="9">
      <pivotArea type="all" dataOnly="0" outline="0" fieldPosition="0"/>
    </format>
    <format dxfId="8">
      <pivotArea dataOnly="0" labelOnly="1" outline="0" axis="axisValues" fieldPosition="0"/>
    </format>
    <format dxfId="7">
      <pivotArea outline="0" collapsedLevelsAreSubtotals="1" fieldPosition="0"/>
    </format>
    <format dxfId="6">
      <pivotArea dataOnly="0" labelOnly="1" fieldPosition="0">
        <references count="1">
          <reference field="0" count="0"/>
        </references>
      </pivotArea>
    </format>
    <format dxfId="5">
      <pivotArea type="all" dataOnly="0" outline="0" fieldPosition="0"/>
    </format>
    <format dxfId="4">
      <pivotArea outline="0" collapsedLevelsAreSubtotals="1" fieldPosition="0"/>
    </format>
    <format dxfId="3">
      <pivotArea dataOnly="0" labelOnly="1" outline="0" axis="axisValues" fieldPosition="0"/>
    </format>
    <format dxfId="2">
      <pivotArea dataOnly="0" labelOnly="1" fieldPosition="0">
        <references count="1">
          <reference field="0" count="0"/>
        </references>
      </pivotArea>
    </format>
    <format dxfId="1">
      <pivotArea dataOnly="0" labelOnly="1" outline="0" offset="IV256" fieldPosition="0">
        <references count="1">
          <reference field="0" count="0"/>
        </references>
      </pivotArea>
    </format>
    <format dxfId="0">
      <pivotArea outline="0" collapsedLevelsAreSubtotals="1" fieldPosition="0"/>
    </format>
  </formats>
  <pivotTableStyleInfo name="PivotStyleMedium4" showRowHeaders="0"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printerSettings" Target="../printerSettings/printerSettings42.bin"/><Relationship Id="rId4" Type="http://schemas.openxmlformats.org/officeDocument/2006/relationships/hyperlink" Target="https://www.gsi.be.ch/fr/start/dienstleistungen/formulare-gesuche-bewilligungen-organisationsstruktur/ais-formulare-gesuche-bewilligungen/familie-und-gesellschaft/offene-kinder-jugendarbeit.html"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printerSettings" Target="../printerSettings/printerSettings4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N49"/>
  <sheetViews>
    <sheetView tabSelected="1" zoomScaleNormal="100" workbookViewId="0">
      <selection activeCell="E10" sqref="E10"/>
    </sheetView>
  </sheetViews>
  <sheetFormatPr baseColWidth="10" defaultColWidth="11.44140625" defaultRowHeight="13.2" x14ac:dyDescent="0.25"/>
  <cols>
    <col min="1" max="1" width="5.5546875" style="80" customWidth="1"/>
    <col min="2" max="2" width="3.5546875" style="69" customWidth="1"/>
    <col min="3" max="3" width="36.5546875" style="69" bestFit="1" customWidth="1"/>
    <col min="4" max="5" width="9" style="9" customWidth="1"/>
    <col min="6" max="7" width="20.5546875" style="9" customWidth="1"/>
    <col min="8" max="8" width="14.5546875" style="9" customWidth="1"/>
    <col min="9" max="13" width="14.5546875" style="2" customWidth="1"/>
    <col min="14" max="16384" width="11.44140625" style="2"/>
  </cols>
  <sheetData>
    <row r="1" spans="1:13" s="7" customFormat="1" ht="15.6" x14ac:dyDescent="0.3">
      <c r="A1" s="71" t="s">
        <v>413</v>
      </c>
      <c r="F1" s="72"/>
      <c r="G1" s="82"/>
      <c r="I1" s="73"/>
      <c r="J1" s="73"/>
      <c r="M1" s="23" t="s">
        <v>143</v>
      </c>
    </row>
    <row r="2" spans="1:13" s="20" customFormat="1" x14ac:dyDescent="0.25">
      <c r="A2" s="155" t="s">
        <v>138</v>
      </c>
      <c r="F2" s="86"/>
      <c r="G2" s="87"/>
      <c r="I2" s="88"/>
      <c r="J2" s="88"/>
      <c r="K2" s="86"/>
      <c r="L2" s="86"/>
    </row>
    <row r="3" spans="1:13" s="20" customFormat="1" x14ac:dyDescent="0.25">
      <c r="A3" s="85"/>
      <c r="F3" s="86"/>
      <c r="G3" s="87"/>
      <c r="I3" s="88"/>
      <c r="J3" s="88"/>
      <c r="K3" s="23"/>
      <c r="L3" s="23"/>
    </row>
    <row r="4" spans="1:13" s="7" customFormat="1" ht="12.75" customHeight="1" x14ac:dyDescent="0.3">
      <c r="A4" s="27" t="s">
        <v>429</v>
      </c>
      <c r="F4" s="72"/>
      <c r="G4" s="82"/>
      <c r="I4" s="73"/>
      <c r="J4" s="73"/>
      <c r="K4" s="23"/>
      <c r="L4" s="23"/>
    </row>
    <row r="5" spans="1:13" s="7" customFormat="1" ht="12.75" customHeight="1" x14ac:dyDescent="0.3">
      <c r="A5" s="70" t="s">
        <v>430</v>
      </c>
      <c r="F5" s="72"/>
      <c r="G5" s="82"/>
      <c r="I5" s="73"/>
      <c r="J5" s="73"/>
      <c r="K5" s="23"/>
      <c r="L5" s="23"/>
    </row>
    <row r="6" spans="1:13" s="7" customFormat="1" ht="12.75" customHeight="1" x14ac:dyDescent="0.3">
      <c r="A6" s="70" t="s">
        <v>431</v>
      </c>
      <c r="F6" s="72"/>
      <c r="G6" s="82"/>
      <c r="I6" s="73"/>
      <c r="J6" s="73"/>
      <c r="K6" s="23"/>
      <c r="L6" s="23"/>
    </row>
    <row r="7" spans="1:13" x14ac:dyDescent="0.25">
      <c r="A7" s="70" t="s">
        <v>458</v>
      </c>
      <c r="K7" s="77"/>
      <c r="L7" s="77"/>
    </row>
    <row r="8" spans="1:13" s="7" customFormat="1" ht="15.6" x14ac:dyDescent="0.3">
      <c r="A8" s="76"/>
      <c r="F8" s="72"/>
      <c r="G8" s="74"/>
      <c r="H8" s="75"/>
      <c r="I8" s="75"/>
      <c r="J8" s="44"/>
      <c r="K8" s="21"/>
      <c r="L8" s="21"/>
    </row>
    <row r="9" spans="1:13" ht="20.25" customHeight="1" x14ac:dyDescent="0.25">
      <c r="A9" s="10" t="s">
        <v>139</v>
      </c>
      <c r="B9" s="2"/>
      <c r="C9" s="2"/>
      <c r="D9" s="2"/>
      <c r="E9" s="95">
        <v>2024</v>
      </c>
      <c r="F9" s="92"/>
      <c r="G9" s="2"/>
      <c r="H9" s="2"/>
    </row>
    <row r="10" spans="1:13" ht="20.25" customHeight="1" x14ac:dyDescent="0.25">
      <c r="A10" s="10" t="s">
        <v>140</v>
      </c>
      <c r="B10" s="2"/>
      <c r="C10" s="2"/>
      <c r="D10" s="93"/>
      <c r="E10" s="235"/>
      <c r="F10" s="94"/>
      <c r="G10" s="2"/>
      <c r="H10" s="2"/>
      <c r="I10" s="99"/>
      <c r="J10" s="99"/>
      <c r="K10" s="99"/>
      <c r="L10" s="99"/>
    </row>
    <row r="11" spans="1:13" ht="20.25" customHeight="1" x14ac:dyDescent="0.25">
      <c r="A11" s="12" t="s">
        <v>141</v>
      </c>
      <c r="B11" s="11"/>
      <c r="C11" s="2"/>
      <c r="D11" s="94"/>
      <c r="E11" s="468"/>
      <c r="F11" s="468"/>
      <c r="G11" s="2"/>
      <c r="H11" s="477" t="s">
        <v>144</v>
      </c>
      <c r="I11" s="478"/>
      <c r="J11" s="478"/>
      <c r="K11" s="478"/>
      <c r="L11" s="478"/>
      <c r="M11" s="479"/>
    </row>
    <row r="12" spans="1:13" x14ac:dyDescent="0.25">
      <c r="A12" s="3" t="s">
        <v>142</v>
      </c>
      <c r="B12" s="2"/>
      <c r="C12" s="2"/>
      <c r="D12" s="2"/>
      <c r="E12" s="2"/>
      <c r="F12" s="2"/>
      <c r="G12" s="2"/>
      <c r="H12" s="478"/>
      <c r="I12" s="478"/>
      <c r="J12" s="478"/>
      <c r="K12" s="478"/>
      <c r="L12" s="478"/>
      <c r="M12" s="479"/>
    </row>
    <row r="13" spans="1:13" ht="34.5" customHeight="1" x14ac:dyDescent="0.25">
      <c r="A13" s="469"/>
      <c r="B13" s="470"/>
      <c r="C13" s="470"/>
      <c r="D13" s="470"/>
      <c r="E13" s="471"/>
      <c r="F13" s="471"/>
      <c r="G13" s="2"/>
      <c r="H13" s="475"/>
      <c r="I13" s="471"/>
      <c r="J13" s="471"/>
      <c r="K13" s="471"/>
      <c r="L13" s="471"/>
      <c r="M13" s="476"/>
    </row>
    <row r="14" spans="1:13" ht="34.5" customHeight="1" x14ac:dyDescent="0.25">
      <c r="A14" s="471"/>
      <c r="B14" s="471"/>
      <c r="C14" s="471"/>
      <c r="D14" s="471"/>
      <c r="E14" s="471"/>
      <c r="F14" s="471"/>
      <c r="G14" s="2"/>
      <c r="H14" s="471"/>
      <c r="I14" s="471"/>
      <c r="J14" s="471"/>
      <c r="K14" s="471"/>
      <c r="L14" s="471"/>
      <c r="M14" s="476"/>
    </row>
    <row r="15" spans="1:13" x14ac:dyDescent="0.25">
      <c r="A15" s="76"/>
    </row>
    <row r="16" spans="1:13" ht="13.5" customHeight="1" x14ac:dyDescent="0.25">
      <c r="A16" s="254"/>
      <c r="B16" s="255"/>
      <c r="C16" s="255"/>
      <c r="D16" s="256"/>
      <c r="E16" s="256"/>
      <c r="F16" s="256"/>
      <c r="G16" s="256"/>
      <c r="H16" s="472" t="s">
        <v>155</v>
      </c>
      <c r="I16" s="473"/>
      <c r="J16" s="473"/>
      <c r="K16" s="473"/>
      <c r="L16" s="474"/>
      <c r="M16" s="224"/>
    </row>
    <row r="17" spans="1:14" s="78" customFormat="1" ht="91.5" customHeight="1" x14ac:dyDescent="0.2">
      <c r="A17" s="337" t="s">
        <v>403</v>
      </c>
      <c r="B17" s="338" t="s">
        <v>145</v>
      </c>
      <c r="C17" s="339" t="s">
        <v>146</v>
      </c>
      <c r="D17" s="28" t="s">
        <v>147</v>
      </c>
      <c r="E17" s="28" t="s">
        <v>148</v>
      </c>
      <c r="F17" s="339" t="s">
        <v>149</v>
      </c>
      <c r="G17" s="339" t="s">
        <v>150</v>
      </c>
      <c r="H17" s="340" t="s">
        <v>404</v>
      </c>
      <c r="I17" s="340" t="s">
        <v>152</v>
      </c>
      <c r="J17" s="340" t="s">
        <v>153</v>
      </c>
      <c r="K17" s="341" t="s">
        <v>154</v>
      </c>
      <c r="L17" s="341" t="s">
        <v>412</v>
      </c>
      <c r="M17" s="341" t="s">
        <v>405</v>
      </c>
      <c r="N17" s="79"/>
    </row>
    <row r="18" spans="1:14" ht="12.75" customHeight="1" x14ac:dyDescent="0.25">
      <c r="A18" s="306">
        <v>5720</v>
      </c>
      <c r="B18" s="257"/>
      <c r="C18" s="258" t="s">
        <v>156</v>
      </c>
      <c r="D18" s="259"/>
      <c r="E18" s="256"/>
      <c r="F18" s="260"/>
      <c r="G18" s="256"/>
      <c r="H18" s="260"/>
      <c r="I18" s="261"/>
      <c r="J18" s="257"/>
      <c r="K18" s="257"/>
      <c r="L18" s="257"/>
      <c r="M18" s="224"/>
    </row>
    <row r="19" spans="1:14" ht="12.75" customHeight="1" x14ac:dyDescent="0.25">
      <c r="A19" s="307"/>
      <c r="B19" s="262"/>
      <c r="C19" s="263"/>
      <c r="D19" s="264"/>
      <c r="E19" s="265"/>
      <c r="F19" s="266"/>
      <c r="G19" s="265"/>
      <c r="H19" s="266"/>
      <c r="I19" s="261"/>
      <c r="J19" s="262"/>
      <c r="K19" s="262"/>
      <c r="L19" s="262"/>
      <c r="M19" s="267"/>
    </row>
    <row r="20" spans="1:14" x14ac:dyDescent="0.25">
      <c r="A20" s="308">
        <v>5720</v>
      </c>
      <c r="B20" s="262" t="s">
        <v>13</v>
      </c>
      <c r="C20" s="263" t="s">
        <v>157</v>
      </c>
      <c r="D20" s="45">
        <f>'2b Synthèse par commune'!C55</f>
        <v>0</v>
      </c>
      <c r="E20" s="45">
        <f>'2b Synthèse par commune'!D55</f>
        <v>0</v>
      </c>
      <c r="F20" s="328">
        <f>'2b Synthèse par commune'!E55</f>
        <v>0</v>
      </c>
      <c r="G20" s="328">
        <f>SUM(H20:L20)</f>
        <v>0</v>
      </c>
      <c r="H20" s="328">
        <f>'2b Synthèse par commune'!F55</f>
        <v>0</v>
      </c>
      <c r="I20" s="329">
        <f>'2b Synthèse par commune'!G55</f>
        <v>0</v>
      </c>
      <c r="J20" s="328">
        <f>'2b Synthèse par commune'!H55</f>
        <v>0</v>
      </c>
      <c r="K20" s="328">
        <f>'2b Synthèse par commune'!I55</f>
        <v>0</v>
      </c>
      <c r="L20" s="328">
        <f>'2b Synthèse par commune'!J55</f>
        <v>0</v>
      </c>
      <c r="M20" s="330">
        <f>F20-G20</f>
        <v>0</v>
      </c>
    </row>
    <row r="21" spans="1:14" x14ac:dyDescent="0.25">
      <c r="A21" s="309">
        <v>5720</v>
      </c>
      <c r="B21" s="269" t="s">
        <v>14</v>
      </c>
      <c r="C21" s="270" t="s">
        <v>158</v>
      </c>
      <c r="D21" s="45"/>
      <c r="E21" s="45"/>
      <c r="F21" s="328">
        <f>'2d Coûts particuliers'!B38</f>
        <v>0</v>
      </c>
      <c r="G21" s="271"/>
      <c r="H21" s="272"/>
      <c r="I21" s="273"/>
      <c r="J21" s="272"/>
      <c r="K21" s="272"/>
      <c r="L21" s="272"/>
      <c r="M21" s="25">
        <f t="shared" ref="M21:M23" si="0">F21-G21</f>
        <v>0</v>
      </c>
    </row>
    <row r="22" spans="1:14" x14ac:dyDescent="0.25">
      <c r="A22" s="309">
        <v>5720</v>
      </c>
      <c r="B22" s="269" t="s">
        <v>22</v>
      </c>
      <c r="C22" s="270" t="s">
        <v>159</v>
      </c>
      <c r="D22" s="45">
        <f>'2e Soins médicaux d''urgence'!C66</f>
        <v>0</v>
      </c>
      <c r="E22" s="45"/>
      <c r="F22" s="328">
        <f>'2e Soins médicaux d''urgence'!B66</f>
        <v>0</v>
      </c>
      <c r="G22" s="271"/>
      <c r="H22" s="272"/>
      <c r="I22" s="273"/>
      <c r="J22" s="272"/>
      <c r="K22" s="272"/>
      <c r="L22" s="272"/>
      <c r="M22" s="25">
        <f t="shared" si="0"/>
        <v>0</v>
      </c>
    </row>
    <row r="23" spans="1:14" ht="13.8" thickBot="1" x14ac:dyDescent="0.3">
      <c r="A23" s="310">
        <v>5720</v>
      </c>
      <c r="B23" s="274"/>
      <c r="C23" s="275" t="s">
        <v>160</v>
      </c>
      <c r="D23" s="46">
        <f>D20+D22</f>
        <v>0</v>
      </c>
      <c r="E23" s="46">
        <f>E20</f>
        <v>0</v>
      </c>
      <c r="F23" s="331">
        <f>SUM(F20:F22)</f>
        <v>0</v>
      </c>
      <c r="G23" s="332">
        <f>SUM(H23:L23)</f>
        <v>0</v>
      </c>
      <c r="H23" s="331">
        <f>H20</f>
        <v>0</v>
      </c>
      <c r="I23" s="331">
        <f>I20</f>
        <v>0</v>
      </c>
      <c r="J23" s="331">
        <f>J20</f>
        <v>0</v>
      </c>
      <c r="K23" s="331">
        <f>K20</f>
        <v>0</v>
      </c>
      <c r="L23" s="331">
        <f>L20</f>
        <v>0</v>
      </c>
      <c r="M23" s="331">
        <f t="shared" si="0"/>
        <v>0</v>
      </c>
    </row>
    <row r="24" spans="1:14" ht="12.75" customHeight="1" thickTop="1" x14ac:dyDescent="0.25">
      <c r="A24" s="307"/>
      <c r="B24" s="262"/>
      <c r="C24" s="263"/>
      <c r="D24" s="265"/>
      <c r="E24" s="277"/>
      <c r="F24" s="277"/>
      <c r="G24" s="277"/>
      <c r="H24" s="278"/>
      <c r="I24" s="279"/>
      <c r="J24" s="279"/>
      <c r="K24" s="279"/>
      <c r="L24" s="279"/>
      <c r="M24" s="52"/>
    </row>
    <row r="25" spans="1:14" ht="21" x14ac:dyDescent="0.25">
      <c r="A25" s="311">
        <v>5430</v>
      </c>
      <c r="B25" s="262"/>
      <c r="C25" s="342" t="s">
        <v>161</v>
      </c>
      <c r="D25" s="282"/>
      <c r="E25" s="283"/>
      <c r="F25" s="265"/>
      <c r="G25" s="265"/>
      <c r="H25" s="264"/>
      <c r="I25" s="52"/>
      <c r="J25" s="52"/>
      <c r="K25" s="52"/>
      <c r="L25" s="52"/>
      <c r="M25" s="52"/>
    </row>
    <row r="26" spans="1:14" ht="12.75" customHeight="1" x14ac:dyDescent="0.25">
      <c r="A26" s="307"/>
      <c r="B26" s="262"/>
      <c r="C26" s="263"/>
      <c r="D26" s="280" t="s">
        <v>165</v>
      </c>
      <c r="E26" s="280" t="s">
        <v>166</v>
      </c>
      <c r="F26" s="265"/>
      <c r="G26" s="265"/>
      <c r="H26" s="264"/>
      <c r="I26" s="52"/>
      <c r="J26" s="52"/>
      <c r="K26" s="52"/>
      <c r="L26" s="52"/>
      <c r="M26" s="52"/>
    </row>
    <row r="27" spans="1:14" ht="13.5" customHeight="1" x14ac:dyDescent="0.25">
      <c r="A27" s="312">
        <v>5430</v>
      </c>
      <c r="B27" s="284" t="s">
        <v>18</v>
      </c>
      <c r="C27" s="285" t="s">
        <v>162</v>
      </c>
      <c r="D27" s="45">
        <f>'3a Synthèse par commune'!C53</f>
        <v>0</v>
      </c>
      <c r="E27" s="45">
        <f>'3a Synthèse par commune'!D53</f>
        <v>0</v>
      </c>
      <c r="F27" s="328">
        <f>'3a Synthèse par commune'!E53</f>
        <v>0</v>
      </c>
      <c r="G27" s="328">
        <f>'3a Synthèse par commune'!G53</f>
        <v>0</v>
      </c>
      <c r="H27" s="264"/>
      <c r="I27" s="52"/>
      <c r="J27" s="52"/>
      <c r="K27" s="52"/>
      <c r="L27" s="52"/>
      <c r="M27" s="52"/>
    </row>
    <row r="28" spans="1:14" ht="12.75" customHeight="1" x14ac:dyDescent="0.25">
      <c r="A28" s="308"/>
      <c r="B28" s="262"/>
      <c r="C28" s="263"/>
      <c r="D28" s="265"/>
      <c r="E28" s="256"/>
      <c r="F28" s="256"/>
      <c r="G28" s="256"/>
      <c r="H28" s="264"/>
      <c r="I28" s="52"/>
      <c r="J28" s="52"/>
      <c r="K28" s="52"/>
      <c r="L28" s="52"/>
      <c r="M28" s="52"/>
    </row>
    <row r="29" spans="1:14" ht="13.5" customHeight="1" x14ac:dyDescent="0.25">
      <c r="A29" s="312">
        <v>5430</v>
      </c>
      <c r="B29" s="284" t="s">
        <v>18</v>
      </c>
      <c r="C29" s="285" t="s">
        <v>163</v>
      </c>
      <c r="D29" s="45"/>
      <c r="E29" s="45"/>
      <c r="F29" s="328">
        <f>'3a Synthèse par commune'!F53</f>
        <v>0</v>
      </c>
      <c r="G29" s="45"/>
      <c r="H29" s="264"/>
      <c r="I29" s="52"/>
      <c r="J29" s="52"/>
      <c r="K29" s="52"/>
      <c r="L29" s="52"/>
      <c r="M29" s="52"/>
    </row>
    <row r="30" spans="1:14" ht="12.75" customHeight="1" x14ac:dyDescent="0.25">
      <c r="A30" s="307"/>
      <c r="B30" s="262"/>
      <c r="C30" s="263"/>
      <c r="D30" s="265"/>
      <c r="E30" s="265"/>
      <c r="F30" s="256"/>
      <c r="G30" s="265"/>
      <c r="H30" s="264"/>
      <c r="I30" s="52"/>
      <c r="J30" s="52"/>
      <c r="K30" s="52"/>
      <c r="L30" s="52"/>
      <c r="M30" s="52"/>
    </row>
    <row r="31" spans="1:14" ht="13.8" thickBot="1" x14ac:dyDescent="0.3">
      <c r="A31" s="313">
        <v>5430</v>
      </c>
      <c r="B31" s="286"/>
      <c r="C31" s="287" t="s">
        <v>164</v>
      </c>
      <c r="D31" s="46">
        <f>D27</f>
        <v>0</v>
      </c>
      <c r="E31" s="46">
        <f>E27</f>
        <v>0</v>
      </c>
      <c r="F31" s="331">
        <f>F27+F29</f>
        <v>0</v>
      </c>
      <c r="G31" s="331">
        <f>G27</f>
        <v>0</v>
      </c>
      <c r="H31" s="264"/>
      <c r="I31" s="52"/>
      <c r="J31" s="52"/>
      <c r="K31" s="52"/>
      <c r="L31" s="52"/>
      <c r="M31" s="52"/>
    </row>
    <row r="32" spans="1:14" ht="12.75" customHeight="1" thickTop="1" x14ac:dyDescent="0.25">
      <c r="A32" s="307"/>
      <c r="B32" s="262"/>
      <c r="C32" s="281"/>
      <c r="D32" s="282"/>
      <c r="E32" s="282"/>
      <c r="F32" s="282"/>
      <c r="G32" s="288"/>
      <c r="H32" s="48"/>
      <c r="I32" s="52"/>
      <c r="J32" s="52"/>
      <c r="K32" s="52"/>
      <c r="L32" s="52"/>
      <c r="M32" s="52"/>
    </row>
    <row r="33" spans="1:13" ht="24" customHeight="1" x14ac:dyDescent="0.25">
      <c r="A33" s="314" t="s">
        <v>137</v>
      </c>
      <c r="B33" s="317">
        <v>4</v>
      </c>
      <c r="C33" s="343" t="s">
        <v>167</v>
      </c>
      <c r="D33" s="271"/>
      <c r="E33" s="271"/>
      <c r="F33" s="333">
        <f>'4 Forfaits par cas'!F119</f>
        <v>0</v>
      </c>
      <c r="G33" s="289"/>
      <c r="H33" s="48"/>
      <c r="I33" s="52"/>
      <c r="J33" s="52"/>
      <c r="K33" s="52"/>
      <c r="L33" s="52"/>
      <c r="M33" s="52"/>
    </row>
    <row r="34" spans="1:13" ht="13.35" customHeight="1" x14ac:dyDescent="0.25">
      <c r="A34" s="406"/>
      <c r="B34" s="407"/>
      <c r="C34" s="408"/>
      <c r="D34" s="54"/>
      <c r="E34" s="54"/>
      <c r="F34" s="409"/>
      <c r="G34" s="54"/>
      <c r="H34" s="48"/>
      <c r="I34" s="52"/>
      <c r="J34" s="52"/>
      <c r="K34" s="52"/>
      <c r="L34" s="52"/>
      <c r="M34" s="52"/>
    </row>
    <row r="35" spans="1:13" x14ac:dyDescent="0.25">
      <c r="A35" s="309">
        <v>5444</v>
      </c>
      <c r="B35" s="269">
        <v>7</v>
      </c>
      <c r="C35" s="290" t="s">
        <v>168</v>
      </c>
      <c r="D35" s="273"/>
      <c r="E35" s="292"/>
      <c r="F35" s="334">
        <f>'7 Animation de jeunesse'!D42</f>
        <v>0</v>
      </c>
      <c r="G35" s="402"/>
      <c r="H35" s="48"/>
      <c r="I35" s="52"/>
      <c r="J35" s="52"/>
      <c r="K35" s="52"/>
      <c r="L35" s="52"/>
      <c r="M35" s="52"/>
    </row>
    <row r="36" spans="1:13" x14ac:dyDescent="0.25">
      <c r="A36" s="315"/>
      <c r="B36" s="269"/>
      <c r="C36" s="290"/>
      <c r="D36" s="48"/>
      <c r="E36" s="48"/>
      <c r="F36" s="265"/>
      <c r="G36" s="293"/>
      <c r="H36" s="48"/>
      <c r="I36" s="52"/>
      <c r="J36" s="52"/>
      <c r="K36" s="52"/>
      <c r="L36" s="52"/>
      <c r="M36" s="52"/>
    </row>
    <row r="37" spans="1:13" x14ac:dyDescent="0.25">
      <c r="A37" s="312" t="s">
        <v>16</v>
      </c>
      <c r="B37" s="269">
        <v>8</v>
      </c>
      <c r="C37" s="290" t="s">
        <v>169</v>
      </c>
      <c r="D37" s="273"/>
      <c r="E37" s="292"/>
      <c r="F37" s="334">
        <f>'8 Hébergement'!F36</f>
        <v>0</v>
      </c>
      <c r="G37" s="293"/>
      <c r="H37" s="48"/>
      <c r="I37" s="52"/>
      <c r="J37" s="52"/>
      <c r="K37" s="52"/>
      <c r="L37" s="52"/>
      <c r="M37" s="52"/>
    </row>
    <row r="38" spans="1:13" x14ac:dyDescent="0.25">
      <c r="A38" s="307"/>
      <c r="B38" s="276"/>
      <c r="C38" s="294"/>
      <c r="D38" s="259"/>
      <c r="E38" s="291"/>
      <c r="F38" s="256"/>
      <c r="G38" s="293"/>
      <c r="H38" s="48"/>
      <c r="I38" s="52"/>
      <c r="J38" s="52"/>
      <c r="K38" s="52"/>
      <c r="L38" s="52"/>
      <c r="M38" s="52"/>
    </row>
    <row r="39" spans="1:13" x14ac:dyDescent="0.25">
      <c r="A39" s="307"/>
      <c r="B39" s="276"/>
      <c r="C39" s="282" t="s">
        <v>170</v>
      </c>
      <c r="D39" s="264"/>
      <c r="E39" s="295"/>
      <c r="F39" s="332">
        <f>F23+F31+F33+F35+F37</f>
        <v>0</v>
      </c>
      <c r="G39" s="335">
        <f>G23+G31</f>
        <v>0</v>
      </c>
      <c r="H39" s="48"/>
      <c r="I39" s="52"/>
      <c r="J39" s="52"/>
      <c r="K39" s="52"/>
      <c r="L39" s="52"/>
      <c r="M39" s="52"/>
    </row>
    <row r="40" spans="1:13" x14ac:dyDescent="0.25">
      <c r="A40" s="307"/>
      <c r="B40" s="276"/>
      <c r="C40" s="282"/>
      <c r="D40" s="264"/>
      <c r="E40" s="295"/>
      <c r="F40" s="265"/>
      <c r="G40" s="295"/>
      <c r="H40" s="48"/>
      <c r="I40" s="52"/>
      <c r="J40" s="52"/>
      <c r="K40" s="52"/>
      <c r="L40" s="52"/>
      <c r="M40" s="52"/>
    </row>
    <row r="41" spans="1:13" ht="15.6" x14ac:dyDescent="0.3">
      <c r="A41" s="307"/>
      <c r="B41" s="276"/>
      <c r="C41" s="296" t="s">
        <v>171</v>
      </c>
      <c r="D41" s="264"/>
      <c r="E41" s="295"/>
      <c r="F41" s="265"/>
      <c r="G41" s="336">
        <f>IF(F39&gt;G39,F39-G39,0)</f>
        <v>0</v>
      </c>
      <c r="H41" s="48"/>
      <c r="I41" s="52"/>
      <c r="J41" s="52"/>
      <c r="K41" s="52"/>
      <c r="L41" s="52"/>
      <c r="M41" s="52"/>
    </row>
    <row r="42" spans="1:13" x14ac:dyDescent="0.25">
      <c r="A42" s="307"/>
      <c r="B42" s="276"/>
      <c r="C42" s="282"/>
      <c r="D42" s="264"/>
      <c r="E42" s="295"/>
      <c r="F42" s="265"/>
      <c r="G42" s="295"/>
      <c r="H42" s="48"/>
      <c r="I42" s="52"/>
      <c r="J42" s="52"/>
      <c r="K42" s="52"/>
      <c r="L42" s="52"/>
      <c r="M42" s="52"/>
    </row>
    <row r="43" spans="1:13" ht="15.6" x14ac:dyDescent="0.3">
      <c r="A43" s="307"/>
      <c r="B43" s="276"/>
      <c r="C43" s="296" t="s">
        <v>172</v>
      </c>
      <c r="D43" s="264"/>
      <c r="E43" s="295"/>
      <c r="F43" s="336">
        <f>IF(G39&gt;F39,G39-F39,0)</f>
        <v>0</v>
      </c>
      <c r="G43" s="295"/>
      <c r="H43" s="48"/>
      <c r="I43" s="52"/>
      <c r="J43" s="52"/>
      <c r="K43" s="52"/>
      <c r="L43" s="52"/>
      <c r="M43" s="52"/>
    </row>
    <row r="44" spans="1:13" x14ac:dyDescent="0.25">
      <c r="A44" s="307"/>
      <c r="B44" s="276"/>
      <c r="C44" s="299"/>
      <c r="D44" s="264"/>
      <c r="E44" s="295"/>
      <c r="F44" s="265"/>
      <c r="G44" s="295"/>
      <c r="H44" s="48"/>
      <c r="I44" s="52"/>
      <c r="J44" s="52"/>
      <c r="K44" s="52"/>
      <c r="L44" s="52"/>
      <c r="M44" s="52"/>
    </row>
    <row r="45" spans="1:13" ht="13.8" thickBot="1" x14ac:dyDescent="0.3">
      <c r="A45" s="316"/>
      <c r="B45" s="297"/>
      <c r="C45" s="271" t="s">
        <v>1</v>
      </c>
      <c r="D45" s="268"/>
      <c r="E45" s="298"/>
      <c r="F45" s="331">
        <f>F39+F43</f>
        <v>0</v>
      </c>
      <c r="G45" s="331">
        <f>G39+G41</f>
        <v>0</v>
      </c>
      <c r="H45" s="48"/>
      <c r="I45" s="52"/>
      <c r="J45" s="52"/>
      <c r="K45" s="52"/>
      <c r="L45" s="52"/>
      <c r="M45" s="52"/>
    </row>
    <row r="46" spans="1:13" ht="13.8" thickTop="1" x14ac:dyDescent="0.25">
      <c r="C46" s="85"/>
      <c r="F46" s="3"/>
      <c r="G46" s="3"/>
    </row>
    <row r="47" spans="1:13" x14ac:dyDescent="0.25">
      <c r="C47" s="40"/>
    </row>
    <row r="48" spans="1:13" x14ac:dyDescent="0.25">
      <c r="C48" s="40"/>
    </row>
    <row r="49" spans="1:5" x14ac:dyDescent="0.25">
      <c r="A49" s="40"/>
      <c r="B49" s="40"/>
      <c r="C49" s="40"/>
      <c r="D49" s="40"/>
      <c r="E49" s="40"/>
    </row>
  </sheetData>
  <sheetProtection algorithmName="SHA-512" hashValue="RkbvxdkJi/8MgYF/4J2u74c/h2bJemZtnVAygJrQoqtY0Jx0KZhuhiLTIMVWJ061+clW5qb7uV6VE3qMHlmhyQ==" saltValue="QmvawiakcyB4/kphMDJnUQ==" spinCount="100000" sheet="1" objects="1" scenarios="1"/>
  <customSheetViews>
    <customSheetView guid="{3FC92738-033B-4B68-8121-D7E87081064C}">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1"/>
      <headerFooter alignWithMargins="0">
        <oddFooter>&amp;L&amp;A&amp;R&amp;D</oddFooter>
      </headerFooter>
    </customSheetView>
    <customSheetView guid="{E083F7BB-7916-4ABB-BDC7-6042584E3606}">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2"/>
      <headerFooter alignWithMargins="0">
        <oddFooter>&amp;L&amp;A&amp;R&amp;D</oddFooter>
      </headerFooter>
    </customSheetView>
    <customSheetView guid="{ED1EFE49-5A07-488C-96A3-3B9FD4475C11}">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3"/>
      <headerFooter alignWithMargins="0">
        <oddFooter>&amp;L&amp;A&amp;R&amp;D</oddFooter>
      </headerFooter>
    </customSheetView>
  </customSheetViews>
  <mergeCells count="5">
    <mergeCell ref="E11:F11"/>
    <mergeCell ref="A13:F14"/>
    <mergeCell ref="H16:L16"/>
    <mergeCell ref="H13:M14"/>
    <mergeCell ref="H11:M12"/>
  </mergeCells>
  <pageMargins left="0.78740157480314965" right="0.39370078740157483" top="0.59055118110236227" bottom="0.39370078740157483" header="0.11811023622047245" footer="0.11811023622047245"/>
  <pageSetup paperSize="9" scale="70" orientation="landscape" r:id="rId4"/>
  <headerFooter alignWithMargins="0">
    <oddHeader>&amp;R&amp;P / &amp;N</oddHeader>
    <oddFooter>&amp;L&amp;A&amp;R&amp;D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D56"/>
  <sheetViews>
    <sheetView zoomScaleNormal="100" workbookViewId="0">
      <selection activeCell="A6" sqref="A6:D6"/>
    </sheetView>
  </sheetViews>
  <sheetFormatPr baseColWidth="10" defaultColWidth="11.44140625" defaultRowHeight="13.2" x14ac:dyDescent="0.25"/>
  <cols>
    <col min="1" max="1" width="3.5546875" style="2" customWidth="1"/>
    <col min="2" max="2" width="85.88671875" style="2" customWidth="1"/>
    <col min="3" max="4" width="12.5546875" style="2" customWidth="1"/>
    <col min="5" max="16384" width="11.44140625" style="2"/>
  </cols>
  <sheetData>
    <row r="1" spans="1:4" s="9" customFormat="1" ht="15.6" x14ac:dyDescent="0.3">
      <c r="A1" s="1" t="s">
        <v>300</v>
      </c>
      <c r="C1" s="3"/>
      <c r="D1" s="23" t="s">
        <v>302</v>
      </c>
    </row>
    <row r="2" spans="1:4" s="7" customFormat="1" ht="15.6" x14ac:dyDescent="0.3">
      <c r="A2" s="1" t="s">
        <v>301</v>
      </c>
      <c r="D2" s="86"/>
    </row>
    <row r="3" spans="1:4" s="7" customFormat="1" ht="15" x14ac:dyDescent="0.25"/>
    <row r="4" spans="1:4" ht="20.25" customHeight="1" x14ac:dyDescent="0.25">
      <c r="A4" s="10" t="s">
        <v>139</v>
      </c>
      <c r="C4" s="481">
        <v>2024</v>
      </c>
      <c r="D4" s="481"/>
    </row>
    <row r="5" spans="1:4" x14ac:dyDescent="0.25">
      <c r="A5" s="3" t="s">
        <v>173</v>
      </c>
    </row>
    <row r="6" spans="1:4" x14ac:dyDescent="0.25">
      <c r="A6" s="490"/>
      <c r="B6" s="471"/>
      <c r="C6" s="471"/>
      <c r="D6" s="471"/>
    </row>
    <row r="7" spans="1:4" x14ac:dyDescent="0.25">
      <c r="A7" s="482"/>
      <c r="B7" s="471"/>
      <c r="C7" s="471"/>
      <c r="D7" s="471"/>
    </row>
    <row r="8" spans="1:4" ht="20.25" customHeight="1" x14ac:dyDescent="0.25">
      <c r="A8" s="10" t="s">
        <v>140</v>
      </c>
      <c r="C8" s="492">
        <f>'1 Récapitulation'!E10</f>
        <v>0</v>
      </c>
      <c r="D8" s="492"/>
    </row>
    <row r="9" spans="1:4" ht="20.25" customHeight="1" x14ac:dyDescent="0.25">
      <c r="A9" s="12" t="s">
        <v>141</v>
      </c>
      <c r="B9" s="11"/>
      <c r="C9" s="529"/>
      <c r="D9" s="530"/>
    </row>
    <row r="10" spans="1:4" x14ac:dyDescent="0.25">
      <c r="A10" s="3" t="s">
        <v>142</v>
      </c>
    </row>
    <row r="11" spans="1:4" x14ac:dyDescent="0.25">
      <c r="A11" s="469"/>
      <c r="B11" s="470"/>
      <c r="C11" s="470"/>
      <c r="D11" s="470"/>
    </row>
    <row r="12" spans="1:4" x14ac:dyDescent="0.25">
      <c r="A12" s="528"/>
      <c r="B12" s="470"/>
      <c r="C12" s="470"/>
      <c r="D12" s="470"/>
    </row>
    <row r="13" spans="1:4" s="9" customFormat="1" x14ac:dyDescent="0.25">
      <c r="A13" s="3"/>
    </row>
    <row r="14" spans="1:4" ht="15.6" x14ac:dyDescent="0.25">
      <c r="A14" s="6" t="s">
        <v>175</v>
      </c>
    </row>
    <row r="15" spans="1:4" ht="15.6" x14ac:dyDescent="0.25">
      <c r="A15" s="6"/>
    </row>
    <row r="16" spans="1:4" x14ac:dyDescent="0.25">
      <c r="A16" s="20" t="s">
        <v>303</v>
      </c>
    </row>
    <row r="17" spans="1:4" x14ac:dyDescent="0.25">
      <c r="A17" s="3"/>
    </row>
    <row r="18" spans="1:4" x14ac:dyDescent="0.25">
      <c r="A18" s="3"/>
    </row>
    <row r="19" spans="1:4" ht="15.6" x14ac:dyDescent="0.25">
      <c r="A19" s="6" t="s">
        <v>179</v>
      </c>
    </row>
    <row r="20" spans="1:4" ht="12.75" customHeight="1" x14ac:dyDescent="0.25">
      <c r="A20" s="6"/>
    </row>
    <row r="21" spans="1:4" ht="15.6" x14ac:dyDescent="0.3">
      <c r="A21" s="13"/>
      <c r="B21" s="14"/>
      <c r="C21" s="393" t="s">
        <v>304</v>
      </c>
      <c r="D21" s="8" t="s">
        <v>305</v>
      </c>
    </row>
    <row r="22" spans="1:4" ht="26.4" x14ac:dyDescent="0.25">
      <c r="A22" s="19">
        <v>1</v>
      </c>
      <c r="B22" s="83" t="s">
        <v>306</v>
      </c>
      <c r="C22" s="17"/>
      <c r="D22" s="17"/>
    </row>
    <row r="23" spans="1:4" ht="66" x14ac:dyDescent="0.25">
      <c r="A23" s="19">
        <v>2</v>
      </c>
      <c r="B23" s="83" t="s">
        <v>307</v>
      </c>
      <c r="C23" s="30"/>
      <c r="D23" s="30"/>
    </row>
    <row r="24" spans="1:4" ht="26.4" x14ac:dyDescent="0.25">
      <c r="A24" s="19">
        <v>3</v>
      </c>
      <c r="B24" s="83" t="s">
        <v>308</v>
      </c>
      <c r="C24" s="17"/>
      <c r="D24" s="17"/>
    </row>
    <row r="25" spans="1:4" ht="39.6" x14ac:dyDescent="0.25">
      <c r="A25" s="19">
        <v>4</v>
      </c>
      <c r="B25" s="83" t="s">
        <v>309</v>
      </c>
      <c r="C25" s="30"/>
      <c r="D25" s="30"/>
    </row>
    <row r="26" spans="1:4" x14ac:dyDescent="0.25">
      <c r="A26" s="19">
        <v>5</v>
      </c>
      <c r="B26" s="83" t="s">
        <v>310</v>
      </c>
      <c r="C26" s="17"/>
      <c r="D26" s="17"/>
    </row>
    <row r="27" spans="1:4" ht="39.6" x14ac:dyDescent="0.25">
      <c r="A27" s="19">
        <v>6</v>
      </c>
      <c r="B27" s="83" t="s">
        <v>409</v>
      </c>
      <c r="C27" s="30"/>
      <c r="D27" s="30"/>
    </row>
    <row r="28" spans="1:4" x14ac:dyDescent="0.25">
      <c r="A28" s="11"/>
      <c r="B28" s="15"/>
      <c r="C28" s="11"/>
      <c r="D28" s="11"/>
    </row>
    <row r="29" spans="1:4" ht="15" x14ac:dyDescent="0.25">
      <c r="A29" s="3" t="s">
        <v>191</v>
      </c>
      <c r="B29" s="7"/>
    </row>
    <row r="30" spans="1:4" x14ac:dyDescent="0.25">
      <c r="A30" s="482"/>
      <c r="B30" s="482"/>
      <c r="C30" s="482"/>
      <c r="D30" s="482"/>
    </row>
    <row r="31" spans="1:4" x14ac:dyDescent="0.25">
      <c r="A31" s="482"/>
      <c r="B31" s="482"/>
      <c r="C31" s="482"/>
      <c r="D31" s="482"/>
    </row>
    <row r="32" spans="1:4" x14ac:dyDescent="0.25">
      <c r="A32" s="482"/>
      <c r="B32" s="482"/>
      <c r="C32" s="482"/>
      <c r="D32" s="482"/>
    </row>
    <row r="33" spans="1:4" x14ac:dyDescent="0.25">
      <c r="A33" s="482"/>
      <c r="B33" s="482"/>
      <c r="C33" s="482"/>
      <c r="D33" s="482"/>
    </row>
    <row r="34" spans="1:4" x14ac:dyDescent="0.25">
      <c r="A34" s="482"/>
      <c r="B34" s="482"/>
      <c r="C34" s="482"/>
      <c r="D34" s="482"/>
    </row>
    <row r="35" spans="1:4" x14ac:dyDescent="0.25">
      <c r="A35" s="482"/>
      <c r="B35" s="482"/>
      <c r="C35" s="482"/>
      <c r="D35" s="482"/>
    </row>
    <row r="36" spans="1:4" ht="15" x14ac:dyDescent="0.25">
      <c r="A36" s="3" t="s">
        <v>192</v>
      </c>
      <c r="B36" s="7"/>
    </row>
    <row r="37" spans="1:4" ht="15" x14ac:dyDescent="0.25">
      <c r="A37" s="3" t="s">
        <v>193</v>
      </c>
      <c r="B37" s="7"/>
    </row>
    <row r="38" spans="1:4" x14ac:dyDescent="0.25">
      <c r="A38" s="482"/>
      <c r="B38" s="487"/>
      <c r="C38" s="487"/>
      <c r="D38" s="487"/>
    </row>
    <row r="39" spans="1:4" x14ac:dyDescent="0.25">
      <c r="A39" s="487"/>
      <c r="B39" s="487"/>
      <c r="C39" s="487"/>
      <c r="D39" s="487"/>
    </row>
    <row r="40" spans="1:4" x14ac:dyDescent="0.25">
      <c r="A40" s="487"/>
      <c r="B40" s="487"/>
      <c r="C40" s="487"/>
      <c r="D40" s="487"/>
    </row>
    <row r="41" spans="1:4" x14ac:dyDescent="0.25">
      <c r="A41" s="487"/>
      <c r="B41" s="487"/>
      <c r="C41" s="487"/>
      <c r="D41" s="487"/>
    </row>
    <row r="42" spans="1:4" ht="15" x14ac:dyDescent="0.25">
      <c r="A42" s="3" t="s">
        <v>311</v>
      </c>
      <c r="B42" s="7"/>
    </row>
    <row r="43" spans="1:4" ht="15" x14ac:dyDescent="0.25">
      <c r="A43" s="3" t="s">
        <v>195</v>
      </c>
      <c r="B43" s="7"/>
    </row>
    <row r="44" spans="1:4" x14ac:dyDescent="0.25">
      <c r="A44" s="482"/>
      <c r="B44" s="489"/>
      <c r="C44" s="489"/>
      <c r="D44" s="489"/>
    </row>
    <row r="45" spans="1:4" x14ac:dyDescent="0.25">
      <c r="A45" s="489"/>
      <c r="B45" s="489"/>
      <c r="C45" s="489"/>
      <c r="D45" s="489"/>
    </row>
    <row r="46" spans="1:4" x14ac:dyDescent="0.25">
      <c r="A46" s="487"/>
      <c r="B46" s="487"/>
      <c r="C46" s="487"/>
      <c r="D46" s="487"/>
    </row>
    <row r="47" spans="1:4" x14ac:dyDescent="0.25">
      <c r="A47" s="487"/>
      <c r="B47" s="487"/>
      <c r="C47" s="487"/>
      <c r="D47" s="487"/>
    </row>
    <row r="49" spans="1:1" x14ac:dyDescent="0.25">
      <c r="A49" s="20" t="s">
        <v>312</v>
      </c>
    </row>
    <row r="50" spans="1:1" x14ac:dyDescent="0.25">
      <c r="A50" s="344" t="s">
        <v>313</v>
      </c>
    </row>
    <row r="51" spans="1:1" x14ac:dyDescent="0.25">
      <c r="A51" s="344" t="s">
        <v>314</v>
      </c>
    </row>
    <row r="52" spans="1:1" x14ac:dyDescent="0.25">
      <c r="A52" s="344" t="s">
        <v>315</v>
      </c>
    </row>
    <row r="53" spans="1:1" x14ac:dyDescent="0.25">
      <c r="A53" s="344" t="s">
        <v>316</v>
      </c>
    </row>
    <row r="54" spans="1:1" x14ac:dyDescent="0.25">
      <c r="A54" s="20" t="s">
        <v>317</v>
      </c>
    </row>
    <row r="55" spans="1:1" x14ac:dyDescent="0.25">
      <c r="A55" s="344" t="s">
        <v>398</v>
      </c>
    </row>
    <row r="56" spans="1:1" x14ac:dyDescent="0.25">
      <c r="A56" s="20"/>
    </row>
  </sheetData>
  <sheetProtection algorithmName="SHA-512" hashValue="A5RGBxH8McZu26kxob6uvfYhXW+iVQqn4wvNadT3TlIemXmYPeoMYV0gwHt0ldIk40wl/DJX+sO1LYXz2DsHQw==" saltValue="ZtlOyzrqbw7Jjb72nTRDng==" spinCount="100000" sheet="1" objects="1" scenarios="1"/>
  <customSheetViews>
    <customSheetView guid="{3FC92738-033B-4B68-8121-D7E87081064C}" showGridLines="0">
      <selection activeCell="A13" sqref="A13:D13"/>
      <pageMargins left="0.78740157480314965" right="0.39370078740157483" top="0.51181102362204722" bottom="0.51181102362204722" header="0.11811023622047245" footer="0.11811023622047245"/>
      <pageSetup paperSize="9" scale="79" orientation="portrait" r:id="rId1"/>
      <headerFooter alignWithMargins="0">
        <oddHeader>&amp;LGesundheits- und Fürsorgedirektion, Sozialamt, Rathausgasse 1, 3011 Bern &amp;RSeite &amp;P von &amp;N</oddHeader>
        <oddFooter>&amp;L&amp;A&amp;R&amp;D</oddFooter>
      </headerFooter>
    </customSheetView>
    <customSheetView guid="{E083F7BB-7916-4ABB-BDC7-6042584E3606}" showGridLines="0">
      <selection activeCell="A13" sqref="A13:D13"/>
      <pageMargins left="0.78740157480314965" right="0.39370078740157483" top="0.51181102362204722" bottom="0.51181102362204722" header="0.11811023622047245" footer="0.11811023622047245"/>
      <pageSetup paperSize="9" scale="79" orientation="portrait" r:id="rId2"/>
      <headerFooter alignWithMargins="0">
        <oddHeader>&amp;LGesundheits- und Fürsorgedirektion, Sozialamt, Rathausgasse 1, 3011 Bern &amp;RSeite &amp;P von &amp;N</oddHeader>
        <oddFooter>&amp;L&amp;A&amp;R&amp;D</oddFooter>
      </headerFooter>
    </customSheetView>
    <customSheetView guid="{ED1EFE49-5A07-488C-96A3-3B9FD4475C11}" showGridLines="0">
      <selection activeCell="A13" sqref="A13:D13"/>
      <pageMargins left="0.78740157480314965" right="0.39370078740157483" top="0.51181102362204722" bottom="0.51181102362204722" header="0.11811023622047245" footer="0.11811023622047245"/>
      <pageSetup paperSize="9" scale="79" orientation="portrait" r:id="rId3"/>
      <headerFooter alignWithMargins="0">
        <oddHeader>&amp;LGesundheits- und Fürsorgedirektion, Sozialamt, Rathausgasse 1, 3011 Bern &amp;RSeite &amp;P von &amp;N</oddHeader>
        <oddFooter>&amp;L&amp;A&amp;R&amp;D</oddFooter>
      </headerFooter>
    </customSheetView>
  </customSheetViews>
  <mergeCells count="15">
    <mergeCell ref="A38:D41"/>
    <mergeCell ref="A44:D47"/>
    <mergeCell ref="C8:D8"/>
    <mergeCell ref="C9:D9"/>
    <mergeCell ref="A30:D30"/>
    <mergeCell ref="A31:D31"/>
    <mergeCell ref="A32:D32"/>
    <mergeCell ref="A33:D33"/>
    <mergeCell ref="A34:D34"/>
    <mergeCell ref="A35:D35"/>
    <mergeCell ref="C4:D4"/>
    <mergeCell ref="A6:D6"/>
    <mergeCell ref="A7:D7"/>
    <mergeCell ref="A11:D11"/>
    <mergeCell ref="A12:D12"/>
  </mergeCells>
  <phoneticPr fontId="0" type="noConversion"/>
  <pageMargins left="0.78740157480314965" right="0.39370078740157483" top="0.51181102362204722" bottom="0.51181102362204722" header="0.11811023622047245" footer="0.11811023622047245"/>
  <pageSetup paperSize="9" scale="79" orientation="portrait" r:id="rId4"/>
  <headerFooter alignWithMargins="0">
    <oddHeader>&amp;LFormulaire de révision (décompte et contrôle) &amp;R &amp;P / &amp;N</oddHeader>
    <oddFooter>&amp;L&amp;A&amp;R&amp;D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tabColor rgb="FFFFFF00"/>
  </sheetPr>
  <dimension ref="A1:Y53"/>
  <sheetViews>
    <sheetView zoomScaleNormal="100" workbookViewId="0">
      <selection activeCell="D12" sqref="D12:E12"/>
    </sheetView>
  </sheetViews>
  <sheetFormatPr baseColWidth="10" defaultColWidth="11.44140625" defaultRowHeight="13.2" x14ac:dyDescent="0.25"/>
  <cols>
    <col min="1" max="1" width="8.44140625" style="52" customWidth="1"/>
    <col min="2" max="2" width="18.44140625" style="2" customWidth="1"/>
    <col min="3" max="4" width="16.5546875" style="48" customWidth="1"/>
    <col min="5" max="6" width="16.5546875" style="9" customWidth="1"/>
    <col min="7" max="7" width="17.88671875" style="9" customWidth="1"/>
    <col min="8" max="9" width="14.5546875" style="9" customWidth="1"/>
    <col min="10" max="25" width="11.44140625" style="9"/>
    <col min="26" max="16384" width="11.44140625" style="2"/>
  </cols>
  <sheetData>
    <row r="1" spans="1:25" ht="15.6" x14ac:dyDescent="0.3">
      <c r="A1" s="197" t="s">
        <v>318</v>
      </c>
      <c r="B1" s="27"/>
      <c r="G1" s="23" t="s">
        <v>321</v>
      </c>
      <c r="I1" s="21"/>
    </row>
    <row r="2" spans="1:25" x14ac:dyDescent="0.25">
      <c r="A2" s="54"/>
      <c r="B2" s="27"/>
      <c r="G2" s="2"/>
      <c r="I2" s="21"/>
    </row>
    <row r="3" spans="1:25" ht="13.8" x14ac:dyDescent="0.25">
      <c r="A3" s="47" t="s">
        <v>319</v>
      </c>
      <c r="B3" s="27"/>
      <c r="G3" s="53"/>
      <c r="I3" s="21"/>
    </row>
    <row r="4" spans="1:25" ht="13.8" x14ac:dyDescent="0.25">
      <c r="A4" s="47" t="s">
        <v>320</v>
      </c>
      <c r="B4" s="27"/>
      <c r="G4" s="53"/>
      <c r="I4" s="21"/>
    </row>
    <row r="5" spans="1:25" ht="13.8" x14ac:dyDescent="0.25">
      <c r="A5" s="47"/>
      <c r="B5" s="27"/>
      <c r="G5" s="53"/>
      <c r="I5" s="21"/>
    </row>
    <row r="6" spans="1:25" ht="13.8" x14ac:dyDescent="0.25">
      <c r="A6" s="47"/>
      <c r="B6" s="27"/>
      <c r="G6" s="53"/>
      <c r="I6" s="21"/>
    </row>
    <row r="7" spans="1:25" ht="13.8" x14ac:dyDescent="0.25">
      <c r="A7" s="47"/>
      <c r="B7" s="27"/>
      <c r="G7" s="53"/>
      <c r="I7" s="21"/>
    </row>
    <row r="8" spans="1:25" ht="13.8" x14ac:dyDescent="0.25">
      <c r="A8" s="47"/>
      <c r="B8" s="27"/>
      <c r="G8" s="53"/>
      <c r="I8" s="21"/>
    </row>
    <row r="9" spans="1:25" x14ac:dyDescent="0.25">
      <c r="C9" s="55"/>
      <c r="D9" s="55"/>
      <c r="E9" s="56"/>
      <c r="F9" s="56"/>
      <c r="G9" s="2"/>
      <c r="I9" s="57"/>
    </row>
    <row r="10" spans="1:25" x14ac:dyDescent="0.25">
      <c r="A10" s="59" t="s">
        <v>139</v>
      </c>
      <c r="C10" s="2"/>
      <c r="D10" s="481">
        <v>2024</v>
      </c>
      <c r="E10" s="509"/>
      <c r="G10" s="58"/>
    </row>
    <row r="11" spans="1:25" x14ac:dyDescent="0.25">
      <c r="A11" s="59" t="s">
        <v>221</v>
      </c>
      <c r="C11" s="2"/>
      <c r="D11" s="492">
        <f>'1 Récapitulation'!E10</f>
        <v>0</v>
      </c>
      <c r="E11" s="510"/>
      <c r="G11" s="58"/>
    </row>
    <row r="12" spans="1:25" x14ac:dyDescent="0.25">
      <c r="A12" s="54" t="s">
        <v>222</v>
      </c>
      <c r="C12" s="2"/>
      <c r="D12" s="511"/>
      <c r="E12" s="512"/>
      <c r="G12" s="58"/>
    </row>
    <row r="13" spans="1:25" x14ac:dyDescent="0.25">
      <c r="A13" s="2"/>
      <c r="C13" s="101"/>
    </row>
    <row r="14" spans="1:25" ht="39.6" x14ac:dyDescent="0.25">
      <c r="A14" s="60" t="s">
        <v>223</v>
      </c>
      <c r="B14" s="61" t="s">
        <v>224</v>
      </c>
      <c r="C14" s="62" t="s">
        <v>322</v>
      </c>
      <c r="D14" s="62" t="s">
        <v>323</v>
      </c>
      <c r="E14" s="62" t="s">
        <v>324</v>
      </c>
      <c r="F14" s="62" t="s">
        <v>325</v>
      </c>
      <c r="G14" s="62" t="s">
        <v>326</v>
      </c>
    </row>
    <row r="15" spans="1:25" s="64" customFormat="1" ht="19.5" customHeight="1" x14ac:dyDescent="0.25">
      <c r="A15" s="418"/>
      <c r="B15" s="242"/>
      <c r="C15" s="243"/>
      <c r="D15" s="243"/>
      <c r="E15" s="242"/>
      <c r="F15" s="242"/>
      <c r="G15" s="242"/>
      <c r="H15" s="63"/>
      <c r="I15" s="63"/>
      <c r="J15" s="63"/>
      <c r="K15" s="63"/>
      <c r="L15" s="63"/>
      <c r="M15" s="63"/>
      <c r="N15" s="63"/>
      <c r="O15" s="63"/>
      <c r="P15" s="63"/>
      <c r="Q15" s="63"/>
      <c r="R15" s="63"/>
      <c r="S15" s="63"/>
      <c r="T15" s="63"/>
      <c r="U15" s="63"/>
      <c r="V15" s="63"/>
      <c r="W15" s="63"/>
      <c r="X15" s="63"/>
      <c r="Y15" s="63"/>
    </row>
    <row r="16" spans="1:25" s="64" customFormat="1" ht="19.5" customHeight="1" x14ac:dyDescent="0.25">
      <c r="A16" s="244"/>
      <c r="B16" s="245"/>
      <c r="C16" s="246"/>
      <c r="D16" s="246"/>
      <c r="E16" s="245"/>
      <c r="F16" s="245"/>
      <c r="G16" s="245"/>
      <c r="H16" s="63"/>
      <c r="I16" s="63"/>
      <c r="J16" s="63"/>
      <c r="K16" s="63"/>
      <c r="L16" s="63"/>
      <c r="M16" s="63"/>
      <c r="N16" s="63"/>
      <c r="O16" s="63"/>
      <c r="P16" s="63"/>
      <c r="Q16" s="63"/>
      <c r="R16" s="63"/>
      <c r="S16" s="63"/>
      <c r="T16" s="63"/>
      <c r="U16" s="63"/>
      <c r="V16" s="63"/>
      <c r="W16" s="63"/>
      <c r="X16" s="63"/>
      <c r="Y16" s="63"/>
    </row>
    <row r="17" spans="1:25" s="64" customFormat="1" ht="19.5" customHeight="1" x14ac:dyDescent="0.25">
      <c r="A17" s="241"/>
      <c r="B17" s="242"/>
      <c r="C17" s="243"/>
      <c r="D17" s="243"/>
      <c r="E17" s="242"/>
      <c r="F17" s="242"/>
      <c r="G17" s="242"/>
      <c r="H17" s="63"/>
      <c r="I17" s="63"/>
      <c r="J17" s="63"/>
      <c r="K17" s="63"/>
      <c r="L17" s="63"/>
      <c r="M17" s="63"/>
      <c r="N17" s="63"/>
      <c r="O17" s="63"/>
      <c r="P17" s="63"/>
      <c r="Q17" s="63"/>
      <c r="R17" s="63"/>
      <c r="S17" s="63"/>
      <c r="T17" s="63"/>
      <c r="U17" s="63"/>
      <c r="V17" s="63"/>
      <c r="W17" s="63"/>
      <c r="X17" s="63"/>
      <c r="Y17" s="63"/>
    </row>
    <row r="18" spans="1:25" s="64" customFormat="1" ht="19.5" customHeight="1" x14ac:dyDescent="0.25">
      <c r="A18" s="244"/>
      <c r="B18" s="247"/>
      <c r="C18" s="248"/>
      <c r="D18" s="248"/>
      <c r="E18" s="247"/>
      <c r="F18" s="247"/>
      <c r="G18" s="247"/>
      <c r="H18" s="63"/>
      <c r="I18" s="63"/>
      <c r="J18" s="63"/>
      <c r="K18" s="63"/>
      <c r="L18" s="63"/>
      <c r="M18" s="63"/>
      <c r="N18" s="63"/>
      <c r="O18" s="63"/>
      <c r="P18" s="63"/>
      <c r="Q18" s="63"/>
      <c r="R18" s="63"/>
      <c r="S18" s="63"/>
      <c r="T18" s="63"/>
      <c r="U18" s="63"/>
      <c r="V18" s="63"/>
      <c r="W18" s="63"/>
      <c r="X18" s="63"/>
      <c r="Y18" s="63"/>
    </row>
    <row r="19" spans="1:25" s="64" customFormat="1" ht="19.5" customHeight="1" x14ac:dyDescent="0.25">
      <c r="A19" s="241"/>
      <c r="B19" s="249"/>
      <c r="C19" s="240"/>
      <c r="D19" s="240"/>
      <c r="E19" s="319"/>
      <c r="F19" s="319"/>
      <c r="G19" s="319"/>
      <c r="H19" s="63"/>
      <c r="I19" s="63"/>
      <c r="J19" s="63"/>
      <c r="K19" s="63"/>
      <c r="L19" s="63"/>
      <c r="M19" s="63"/>
      <c r="N19" s="63"/>
      <c r="O19" s="63"/>
      <c r="P19" s="63"/>
      <c r="Q19" s="63"/>
      <c r="R19" s="63"/>
      <c r="S19" s="63"/>
      <c r="T19" s="63"/>
      <c r="U19" s="63"/>
      <c r="V19" s="63"/>
      <c r="W19" s="63"/>
      <c r="X19" s="63"/>
      <c r="Y19" s="63"/>
    </row>
    <row r="20" spans="1:25" s="64" customFormat="1" ht="19.5" customHeight="1" x14ac:dyDescent="0.25">
      <c r="A20" s="244"/>
      <c r="B20" s="247"/>
      <c r="C20" s="248"/>
      <c r="D20" s="248"/>
      <c r="E20" s="247"/>
      <c r="F20" s="247"/>
      <c r="G20" s="247"/>
      <c r="H20" s="63"/>
      <c r="I20" s="63"/>
      <c r="J20" s="63"/>
      <c r="K20" s="63"/>
      <c r="L20" s="63"/>
      <c r="M20" s="63"/>
      <c r="N20" s="63"/>
      <c r="O20" s="63"/>
      <c r="P20" s="63"/>
      <c r="Q20" s="63"/>
      <c r="R20" s="63"/>
      <c r="S20" s="63"/>
      <c r="T20" s="63"/>
      <c r="U20" s="63"/>
      <c r="V20" s="63"/>
      <c r="W20" s="63"/>
      <c r="X20" s="63"/>
      <c r="Y20" s="63"/>
    </row>
    <row r="21" spans="1:25" s="64" customFormat="1" ht="19.5" customHeight="1" x14ac:dyDescent="0.25">
      <c r="A21" s="241"/>
      <c r="B21" s="249"/>
      <c r="C21" s="240"/>
      <c r="D21" s="240"/>
      <c r="E21" s="319"/>
      <c r="F21" s="319"/>
      <c r="G21" s="319"/>
      <c r="H21" s="63"/>
      <c r="I21" s="63"/>
      <c r="J21" s="63"/>
      <c r="K21" s="63"/>
      <c r="L21" s="63"/>
      <c r="M21" s="63"/>
      <c r="N21" s="63"/>
      <c r="O21" s="63"/>
      <c r="P21" s="63"/>
      <c r="Q21" s="63"/>
      <c r="R21" s="63"/>
      <c r="S21" s="63"/>
      <c r="T21" s="63"/>
      <c r="U21" s="63"/>
      <c r="V21" s="63"/>
      <c r="W21" s="63"/>
      <c r="X21" s="63"/>
      <c r="Y21" s="63"/>
    </row>
    <row r="22" spans="1:25" s="64" customFormat="1" ht="19.5" customHeight="1" x14ac:dyDescent="0.25">
      <c r="A22" s="244"/>
      <c r="B22" s="247"/>
      <c r="C22" s="248"/>
      <c r="D22" s="248"/>
      <c r="E22" s="247"/>
      <c r="F22" s="247"/>
      <c r="G22" s="247"/>
      <c r="H22" s="63"/>
      <c r="I22" s="63"/>
      <c r="J22" s="63"/>
      <c r="K22" s="63"/>
      <c r="L22" s="63"/>
      <c r="M22" s="63"/>
      <c r="N22" s="63"/>
      <c r="O22" s="63"/>
      <c r="P22" s="63"/>
      <c r="Q22" s="63"/>
      <c r="R22" s="63"/>
      <c r="S22" s="63"/>
      <c r="T22" s="63"/>
      <c r="U22" s="63"/>
      <c r="V22" s="63"/>
      <c r="W22" s="63"/>
      <c r="X22" s="63"/>
      <c r="Y22" s="63"/>
    </row>
    <row r="23" spans="1:25" s="64" customFormat="1" ht="19.5" customHeight="1" x14ac:dyDescent="0.25">
      <c r="A23" s="241"/>
      <c r="B23" s="249"/>
      <c r="C23" s="240"/>
      <c r="D23" s="240"/>
      <c r="E23" s="319"/>
      <c r="F23" s="319"/>
      <c r="G23" s="319"/>
      <c r="H23" s="63"/>
      <c r="I23" s="63"/>
      <c r="J23" s="63"/>
      <c r="K23" s="63"/>
      <c r="L23" s="63"/>
      <c r="M23" s="63"/>
      <c r="N23" s="63"/>
      <c r="O23" s="63"/>
      <c r="P23" s="63"/>
      <c r="Q23" s="63"/>
      <c r="R23" s="63"/>
      <c r="S23" s="63"/>
      <c r="T23" s="63"/>
      <c r="U23" s="63"/>
      <c r="V23" s="63"/>
      <c r="W23" s="63"/>
      <c r="X23" s="63"/>
      <c r="Y23" s="63"/>
    </row>
    <row r="24" spans="1:25" s="64" customFormat="1" ht="19.5" customHeight="1" x14ac:dyDescent="0.25">
      <c r="A24" s="244"/>
      <c r="B24" s="247"/>
      <c r="C24" s="248"/>
      <c r="D24" s="248"/>
      <c r="E24" s="247"/>
      <c r="F24" s="247"/>
      <c r="G24" s="247"/>
      <c r="H24" s="63"/>
      <c r="I24" s="63"/>
      <c r="J24" s="63"/>
      <c r="K24" s="63"/>
      <c r="L24" s="63"/>
      <c r="M24" s="63"/>
      <c r="N24" s="63"/>
      <c r="O24" s="63"/>
      <c r="P24" s="63"/>
      <c r="Q24" s="63"/>
      <c r="R24" s="63"/>
      <c r="S24" s="63"/>
      <c r="T24" s="63"/>
      <c r="U24" s="63"/>
      <c r="V24" s="63"/>
      <c r="W24" s="63"/>
      <c r="X24" s="63"/>
      <c r="Y24" s="63"/>
    </row>
    <row r="25" spans="1:25" s="64" customFormat="1" ht="19.5" customHeight="1" x14ac:dyDescent="0.25">
      <c r="A25" s="241"/>
      <c r="B25" s="249"/>
      <c r="C25" s="240"/>
      <c r="D25" s="240"/>
      <c r="E25" s="319"/>
      <c r="F25" s="319"/>
      <c r="G25" s="319"/>
      <c r="H25" s="63"/>
      <c r="I25" s="63"/>
      <c r="J25" s="63"/>
      <c r="K25" s="63"/>
      <c r="L25" s="63"/>
      <c r="M25" s="63"/>
      <c r="N25" s="63"/>
      <c r="O25" s="63"/>
      <c r="P25" s="63"/>
      <c r="Q25" s="63"/>
      <c r="R25" s="63"/>
      <c r="S25" s="63"/>
      <c r="T25" s="63"/>
      <c r="U25" s="63"/>
      <c r="V25" s="63"/>
      <c r="W25" s="63"/>
      <c r="X25" s="63"/>
      <c r="Y25" s="63"/>
    </row>
    <row r="26" spans="1:25" s="64" customFormat="1" ht="19.5" customHeight="1" x14ac:dyDescent="0.25">
      <c r="A26" s="244"/>
      <c r="B26" s="247"/>
      <c r="C26" s="248"/>
      <c r="D26" s="248"/>
      <c r="E26" s="247"/>
      <c r="F26" s="247"/>
      <c r="G26" s="247"/>
      <c r="H26" s="63"/>
      <c r="I26" s="63"/>
      <c r="J26" s="63"/>
      <c r="K26" s="63"/>
      <c r="L26" s="63"/>
      <c r="M26" s="63"/>
      <c r="N26" s="63"/>
      <c r="O26" s="63"/>
      <c r="P26" s="63"/>
      <c r="Q26" s="63"/>
      <c r="R26" s="63"/>
      <c r="S26" s="63"/>
      <c r="T26" s="63"/>
      <c r="U26" s="63"/>
      <c r="V26" s="63"/>
      <c r="W26" s="63"/>
      <c r="X26" s="63"/>
      <c r="Y26" s="63"/>
    </row>
    <row r="27" spans="1:25" s="64" customFormat="1" ht="19.5" customHeight="1" x14ac:dyDescent="0.25">
      <c r="A27" s="241"/>
      <c r="B27" s="249"/>
      <c r="C27" s="240"/>
      <c r="D27" s="240"/>
      <c r="E27" s="319"/>
      <c r="F27" s="319"/>
      <c r="G27" s="319"/>
      <c r="H27" s="63"/>
      <c r="I27" s="63"/>
      <c r="J27" s="63"/>
      <c r="K27" s="63"/>
      <c r="L27" s="63"/>
      <c r="M27" s="63"/>
      <c r="N27" s="63"/>
      <c r="O27" s="63"/>
      <c r="P27" s="63"/>
      <c r="Q27" s="63"/>
      <c r="R27" s="63"/>
      <c r="S27" s="63"/>
      <c r="T27" s="63"/>
      <c r="U27" s="63"/>
      <c r="V27" s="63"/>
      <c r="W27" s="63"/>
      <c r="X27" s="63"/>
      <c r="Y27" s="63"/>
    </row>
    <row r="28" spans="1:25" s="64" customFormat="1" ht="19.5" customHeight="1" x14ac:dyDescent="0.25">
      <c r="A28" s="244"/>
      <c r="B28" s="247"/>
      <c r="C28" s="248"/>
      <c r="D28" s="248"/>
      <c r="E28" s="247"/>
      <c r="F28" s="247"/>
      <c r="G28" s="247"/>
      <c r="H28" s="63"/>
      <c r="I28" s="63"/>
      <c r="J28" s="63"/>
      <c r="K28" s="63"/>
      <c r="L28" s="63"/>
      <c r="M28" s="63"/>
      <c r="N28" s="63"/>
      <c r="O28" s="63"/>
      <c r="P28" s="63"/>
      <c r="Q28" s="63"/>
      <c r="R28" s="63"/>
      <c r="S28" s="63"/>
      <c r="T28" s="63"/>
      <c r="U28" s="63"/>
      <c r="V28" s="63"/>
      <c r="W28" s="63"/>
      <c r="X28" s="63"/>
      <c r="Y28" s="63"/>
    </row>
    <row r="29" spans="1:25" s="64" customFormat="1" ht="19.5" customHeight="1" x14ac:dyDescent="0.25">
      <c r="A29" s="241"/>
      <c r="B29" s="249"/>
      <c r="C29" s="240"/>
      <c r="D29" s="240"/>
      <c r="E29" s="319"/>
      <c r="F29" s="319"/>
      <c r="G29" s="319"/>
      <c r="H29" s="63"/>
      <c r="I29" s="63"/>
      <c r="J29" s="63"/>
      <c r="K29" s="63"/>
      <c r="L29" s="63"/>
      <c r="M29" s="63"/>
      <c r="N29" s="63"/>
      <c r="O29" s="63"/>
      <c r="P29" s="63"/>
      <c r="Q29" s="63"/>
      <c r="R29" s="63"/>
      <c r="S29" s="63"/>
      <c r="T29" s="63"/>
      <c r="U29" s="63"/>
      <c r="V29" s="63"/>
      <c r="W29" s="63"/>
      <c r="X29" s="63"/>
      <c r="Y29" s="63"/>
    </row>
    <row r="30" spans="1:25" s="64" customFormat="1" ht="19.5" customHeight="1" x14ac:dyDescent="0.25">
      <c r="A30" s="244"/>
      <c r="B30" s="247"/>
      <c r="C30" s="248"/>
      <c r="D30" s="248"/>
      <c r="E30" s="247"/>
      <c r="F30" s="247"/>
      <c r="G30" s="247"/>
      <c r="H30" s="63"/>
      <c r="I30" s="63"/>
      <c r="J30" s="63"/>
      <c r="K30" s="63"/>
      <c r="L30" s="63"/>
      <c r="M30" s="63"/>
      <c r="N30" s="63"/>
      <c r="O30" s="63"/>
      <c r="P30" s="63"/>
      <c r="Q30" s="63"/>
      <c r="R30" s="63"/>
      <c r="S30" s="63"/>
      <c r="T30" s="63"/>
      <c r="U30" s="63"/>
      <c r="V30" s="63"/>
      <c r="W30" s="63"/>
      <c r="X30" s="63"/>
      <c r="Y30" s="63"/>
    </row>
    <row r="31" spans="1:25" s="64" customFormat="1" ht="19.5" customHeight="1" x14ac:dyDescent="0.25">
      <c r="A31" s="241"/>
      <c r="B31" s="249"/>
      <c r="C31" s="240"/>
      <c r="D31" s="240"/>
      <c r="E31" s="319"/>
      <c r="F31" s="319"/>
      <c r="G31" s="319"/>
      <c r="H31" s="63"/>
      <c r="I31" s="63"/>
      <c r="J31" s="63"/>
      <c r="K31" s="63"/>
      <c r="L31" s="63"/>
      <c r="M31" s="63"/>
      <c r="N31" s="63"/>
      <c r="O31" s="63"/>
      <c r="P31" s="63"/>
      <c r="Q31" s="63"/>
      <c r="R31" s="63"/>
      <c r="S31" s="63"/>
      <c r="T31" s="63"/>
      <c r="U31" s="63"/>
      <c r="V31" s="63"/>
      <c r="W31" s="63"/>
      <c r="X31" s="63"/>
      <c r="Y31" s="63"/>
    </row>
    <row r="32" spans="1:25" s="64" customFormat="1" ht="19.5" customHeight="1" x14ac:dyDescent="0.25">
      <c r="A32" s="244"/>
      <c r="B32" s="247"/>
      <c r="C32" s="248"/>
      <c r="D32" s="248"/>
      <c r="E32" s="247"/>
      <c r="F32" s="247"/>
      <c r="G32" s="247"/>
      <c r="H32" s="63"/>
      <c r="I32" s="63"/>
      <c r="J32" s="63"/>
      <c r="K32" s="63"/>
      <c r="L32" s="63"/>
      <c r="M32" s="63"/>
      <c r="N32" s="63"/>
      <c r="O32" s="63"/>
      <c r="P32" s="63"/>
      <c r="Q32" s="63"/>
      <c r="R32" s="63"/>
      <c r="S32" s="63"/>
      <c r="T32" s="63"/>
      <c r="U32" s="63"/>
      <c r="V32" s="63"/>
      <c r="W32" s="63"/>
      <c r="X32" s="63"/>
      <c r="Y32" s="63"/>
    </row>
    <row r="33" spans="1:25" s="64" customFormat="1" ht="19.5" customHeight="1" x14ac:dyDescent="0.25">
      <c r="A33" s="241"/>
      <c r="B33" s="249"/>
      <c r="C33" s="240"/>
      <c r="D33" s="240"/>
      <c r="E33" s="319"/>
      <c r="F33" s="319"/>
      <c r="G33" s="319"/>
      <c r="H33" s="63"/>
      <c r="I33" s="63"/>
      <c r="J33" s="63"/>
      <c r="K33" s="63"/>
      <c r="L33" s="63"/>
      <c r="M33" s="63"/>
      <c r="N33" s="63"/>
      <c r="O33" s="63"/>
      <c r="P33" s="63"/>
      <c r="Q33" s="63"/>
      <c r="R33" s="63"/>
      <c r="S33" s="63"/>
      <c r="T33" s="63"/>
      <c r="U33" s="63"/>
      <c r="V33" s="63"/>
      <c r="W33" s="63"/>
      <c r="X33" s="63"/>
      <c r="Y33" s="63"/>
    </row>
    <row r="34" spans="1:25" s="64" customFormat="1" ht="19.5" customHeight="1" x14ac:dyDescent="0.25">
      <c r="A34" s="244"/>
      <c r="B34" s="247"/>
      <c r="C34" s="248"/>
      <c r="D34" s="248"/>
      <c r="E34" s="247"/>
      <c r="F34" s="247"/>
      <c r="G34" s="247"/>
      <c r="H34" s="63"/>
      <c r="I34" s="63"/>
      <c r="J34" s="63"/>
      <c r="K34" s="63"/>
      <c r="L34" s="63"/>
      <c r="M34" s="63"/>
      <c r="N34" s="63"/>
      <c r="O34" s="63"/>
      <c r="P34" s="63"/>
      <c r="Q34" s="63"/>
      <c r="R34" s="63"/>
      <c r="S34" s="63"/>
      <c r="T34" s="63"/>
      <c r="U34" s="63"/>
      <c r="V34" s="63"/>
      <c r="W34" s="63"/>
      <c r="X34" s="63"/>
      <c r="Y34" s="63"/>
    </row>
    <row r="35" spans="1:25" s="64" customFormat="1" ht="19.5" customHeight="1" x14ac:dyDescent="0.25">
      <c r="A35" s="241"/>
      <c r="B35" s="249"/>
      <c r="C35" s="240"/>
      <c r="D35" s="240"/>
      <c r="E35" s="319"/>
      <c r="F35" s="319"/>
      <c r="G35" s="319"/>
      <c r="H35" s="63"/>
      <c r="I35" s="63"/>
      <c r="J35" s="63"/>
      <c r="K35" s="63"/>
      <c r="L35" s="63"/>
      <c r="M35" s="63"/>
      <c r="N35" s="63"/>
      <c r="O35" s="63"/>
      <c r="P35" s="63"/>
      <c r="Q35" s="63"/>
      <c r="R35" s="63"/>
      <c r="S35" s="63"/>
      <c r="T35" s="63"/>
      <c r="U35" s="63"/>
      <c r="V35" s="63"/>
      <c r="W35" s="63"/>
      <c r="X35" s="63"/>
      <c r="Y35" s="63"/>
    </row>
    <row r="36" spans="1:25" s="64" customFormat="1" ht="19.5" customHeight="1" x14ac:dyDescent="0.25">
      <c r="A36" s="244"/>
      <c r="B36" s="247"/>
      <c r="C36" s="248"/>
      <c r="D36" s="248"/>
      <c r="E36" s="247"/>
      <c r="F36" s="247"/>
      <c r="G36" s="247"/>
      <c r="H36" s="63"/>
      <c r="I36" s="63"/>
      <c r="J36" s="63"/>
      <c r="K36" s="63"/>
      <c r="L36" s="63"/>
      <c r="M36" s="63"/>
      <c r="N36" s="63"/>
      <c r="O36" s="63"/>
      <c r="P36" s="63"/>
      <c r="Q36" s="63"/>
      <c r="R36" s="63"/>
      <c r="S36" s="63"/>
      <c r="T36" s="63"/>
      <c r="U36" s="63"/>
      <c r="V36" s="63"/>
      <c r="W36" s="63"/>
      <c r="X36" s="63"/>
      <c r="Y36" s="63"/>
    </row>
    <row r="37" spans="1:25" s="64" customFormat="1" ht="19.5" customHeight="1" x14ac:dyDescent="0.25">
      <c r="A37" s="241"/>
      <c r="B37" s="249"/>
      <c r="C37" s="240"/>
      <c r="D37" s="240"/>
      <c r="E37" s="319"/>
      <c r="F37" s="319"/>
      <c r="G37" s="319"/>
      <c r="H37" s="63"/>
      <c r="I37" s="63"/>
      <c r="J37" s="63"/>
      <c r="K37" s="63"/>
      <c r="L37" s="63"/>
      <c r="M37" s="63"/>
      <c r="N37" s="63"/>
      <c r="O37" s="63"/>
      <c r="P37" s="63"/>
      <c r="Q37" s="63"/>
      <c r="R37" s="63"/>
      <c r="S37" s="63"/>
      <c r="T37" s="63"/>
      <c r="U37" s="63"/>
      <c r="V37" s="63"/>
      <c r="W37" s="63"/>
      <c r="X37" s="63"/>
      <c r="Y37" s="63"/>
    </row>
    <row r="38" spans="1:25" s="64" customFormat="1" ht="19.5" customHeight="1" x14ac:dyDescent="0.25">
      <c r="A38" s="244"/>
      <c r="B38" s="247"/>
      <c r="C38" s="248"/>
      <c r="D38" s="248"/>
      <c r="E38" s="247"/>
      <c r="F38" s="247"/>
      <c r="G38" s="247"/>
      <c r="H38" s="63"/>
      <c r="I38" s="63"/>
      <c r="J38" s="63"/>
      <c r="K38" s="63"/>
      <c r="L38" s="63"/>
      <c r="M38" s="63"/>
      <c r="N38" s="63"/>
      <c r="O38" s="63"/>
      <c r="P38" s="63"/>
      <c r="Q38" s="63"/>
      <c r="R38" s="63"/>
      <c r="S38" s="63"/>
      <c r="T38" s="63"/>
      <c r="U38" s="63"/>
      <c r="V38" s="63"/>
      <c r="W38" s="63"/>
      <c r="X38" s="63"/>
      <c r="Y38" s="63"/>
    </row>
    <row r="39" spans="1:25" s="64" customFormat="1" ht="19.5" customHeight="1" x14ac:dyDescent="0.25">
      <c r="A39" s="241"/>
      <c r="B39" s="249"/>
      <c r="C39" s="240"/>
      <c r="D39" s="240"/>
      <c r="E39" s="319"/>
      <c r="F39" s="319"/>
      <c r="G39" s="319"/>
      <c r="H39" s="63"/>
      <c r="I39" s="63"/>
      <c r="J39" s="63"/>
      <c r="K39" s="63"/>
      <c r="L39" s="63"/>
      <c r="M39" s="63"/>
      <c r="N39" s="63"/>
      <c r="O39" s="63"/>
      <c r="P39" s="63"/>
      <c r="Q39" s="63"/>
      <c r="R39" s="63"/>
      <c r="S39" s="63"/>
      <c r="T39" s="63"/>
      <c r="U39" s="63"/>
      <c r="V39" s="63"/>
      <c r="W39" s="63"/>
      <c r="X39" s="63"/>
      <c r="Y39" s="63"/>
    </row>
    <row r="40" spans="1:25" s="64" customFormat="1" ht="19.5" customHeight="1" x14ac:dyDescent="0.25">
      <c r="A40" s="244"/>
      <c r="B40" s="247"/>
      <c r="C40" s="248"/>
      <c r="D40" s="248"/>
      <c r="E40" s="247"/>
      <c r="F40" s="247"/>
      <c r="G40" s="247"/>
      <c r="H40" s="63"/>
      <c r="I40" s="63"/>
      <c r="J40" s="63"/>
      <c r="K40" s="63"/>
      <c r="L40" s="63"/>
      <c r="M40" s="63"/>
      <c r="N40" s="63"/>
      <c r="O40" s="63"/>
      <c r="P40" s="63"/>
      <c r="Q40" s="63"/>
      <c r="R40" s="63"/>
      <c r="S40" s="63"/>
      <c r="T40" s="63"/>
      <c r="U40" s="63"/>
      <c r="V40" s="63"/>
      <c r="W40" s="63"/>
      <c r="X40" s="63"/>
      <c r="Y40" s="63"/>
    </row>
    <row r="41" spans="1:25" s="64" customFormat="1" ht="19.5" customHeight="1" x14ac:dyDescent="0.25">
      <c r="A41" s="241"/>
      <c r="B41" s="249"/>
      <c r="C41" s="240"/>
      <c r="D41" s="240"/>
      <c r="E41" s="319"/>
      <c r="F41" s="319"/>
      <c r="G41" s="319"/>
      <c r="H41" s="63"/>
      <c r="I41" s="63"/>
      <c r="J41" s="63"/>
      <c r="K41" s="63"/>
      <c r="L41" s="63"/>
      <c r="M41" s="63"/>
      <c r="N41" s="63"/>
      <c r="O41" s="63"/>
      <c r="P41" s="63"/>
      <c r="Q41" s="63"/>
      <c r="R41" s="63"/>
      <c r="S41" s="63"/>
      <c r="T41" s="63"/>
      <c r="U41" s="63"/>
      <c r="V41" s="63"/>
      <c r="W41" s="63"/>
      <c r="X41" s="63"/>
      <c r="Y41" s="63"/>
    </row>
    <row r="42" spans="1:25" s="64" customFormat="1" ht="19.5" customHeight="1" x14ac:dyDescent="0.25">
      <c r="A42" s="244"/>
      <c r="B42" s="247"/>
      <c r="C42" s="248"/>
      <c r="D42" s="248"/>
      <c r="E42" s="247"/>
      <c r="F42" s="247"/>
      <c r="G42" s="247"/>
      <c r="H42" s="63"/>
      <c r="I42" s="63"/>
      <c r="J42" s="63"/>
      <c r="K42" s="63"/>
      <c r="L42" s="63"/>
      <c r="M42" s="63"/>
      <c r="N42" s="63"/>
      <c r="O42" s="63"/>
      <c r="P42" s="63"/>
      <c r="Q42" s="63"/>
      <c r="R42" s="63"/>
      <c r="S42" s="63"/>
      <c r="T42" s="63"/>
      <c r="U42" s="63"/>
      <c r="V42" s="63"/>
      <c r="W42" s="63"/>
      <c r="X42" s="63"/>
      <c r="Y42" s="63"/>
    </row>
    <row r="43" spans="1:25" s="64" customFormat="1" ht="19.5" customHeight="1" x14ac:dyDescent="0.25">
      <c r="A43" s="241"/>
      <c r="B43" s="249"/>
      <c r="C43" s="240"/>
      <c r="D43" s="240"/>
      <c r="E43" s="319"/>
      <c r="F43" s="319"/>
      <c r="G43" s="319"/>
      <c r="H43" s="63"/>
      <c r="I43" s="63"/>
      <c r="J43" s="63"/>
      <c r="K43" s="63"/>
      <c r="L43" s="63"/>
      <c r="M43" s="63"/>
      <c r="N43" s="63"/>
      <c r="O43" s="63"/>
      <c r="P43" s="63"/>
      <c r="Q43" s="63"/>
      <c r="R43" s="63"/>
      <c r="S43" s="63"/>
      <c r="T43" s="63"/>
      <c r="U43" s="63"/>
      <c r="V43" s="63"/>
      <c r="W43" s="63"/>
      <c r="X43" s="63"/>
      <c r="Y43" s="63"/>
    </row>
    <row r="44" spans="1:25" s="64" customFormat="1" ht="19.5" customHeight="1" x14ac:dyDescent="0.25">
      <c r="A44" s="244"/>
      <c r="B44" s="247"/>
      <c r="C44" s="248"/>
      <c r="D44" s="248"/>
      <c r="E44" s="247"/>
      <c r="F44" s="247"/>
      <c r="G44" s="247"/>
      <c r="H44" s="63"/>
      <c r="I44" s="63"/>
      <c r="J44" s="63"/>
      <c r="K44" s="63"/>
      <c r="L44" s="63"/>
      <c r="M44" s="63"/>
      <c r="N44" s="63"/>
      <c r="O44" s="63"/>
      <c r="P44" s="63"/>
      <c r="Q44" s="63"/>
      <c r="R44" s="63"/>
      <c r="S44" s="63"/>
      <c r="T44" s="63"/>
      <c r="U44" s="63"/>
      <c r="V44" s="63"/>
      <c r="W44" s="63"/>
      <c r="X44" s="63"/>
      <c r="Y44" s="63"/>
    </row>
    <row r="45" spans="1:25" s="64" customFormat="1" ht="19.5" customHeight="1" x14ac:dyDescent="0.25">
      <c r="A45" s="241"/>
      <c r="B45" s="249"/>
      <c r="C45" s="240"/>
      <c r="D45" s="240"/>
      <c r="E45" s="319"/>
      <c r="F45" s="319"/>
      <c r="G45" s="319"/>
      <c r="H45" s="63"/>
      <c r="I45" s="63"/>
      <c r="J45" s="63"/>
      <c r="K45" s="63"/>
      <c r="L45" s="63"/>
      <c r="M45" s="63"/>
      <c r="N45" s="63"/>
      <c r="O45" s="63"/>
      <c r="P45" s="63"/>
      <c r="Q45" s="63"/>
      <c r="R45" s="63"/>
      <c r="S45" s="63"/>
      <c r="T45" s="63"/>
      <c r="U45" s="63"/>
      <c r="V45" s="63"/>
      <c r="W45" s="63"/>
      <c r="X45" s="63"/>
      <c r="Y45" s="63"/>
    </row>
    <row r="46" spans="1:25" s="64" customFormat="1" ht="19.5" customHeight="1" x14ac:dyDescent="0.25">
      <c r="A46" s="244"/>
      <c r="B46" s="247"/>
      <c r="C46" s="248"/>
      <c r="D46" s="248"/>
      <c r="E46" s="247"/>
      <c r="F46" s="247"/>
      <c r="G46" s="247"/>
      <c r="H46" s="63"/>
      <c r="I46" s="63"/>
      <c r="J46" s="63"/>
      <c r="K46" s="63"/>
      <c r="L46" s="63"/>
      <c r="M46" s="63"/>
      <c r="N46" s="63"/>
      <c r="O46" s="63"/>
      <c r="P46" s="63"/>
      <c r="Q46" s="63"/>
      <c r="R46" s="63"/>
      <c r="S46" s="63"/>
      <c r="T46" s="63"/>
      <c r="U46" s="63"/>
      <c r="V46" s="63"/>
      <c r="W46" s="63"/>
      <c r="X46" s="63"/>
      <c r="Y46" s="63"/>
    </row>
    <row r="47" spans="1:25" s="64" customFormat="1" ht="19.5" customHeight="1" x14ac:dyDescent="0.25">
      <c r="A47" s="241"/>
      <c r="B47" s="249"/>
      <c r="C47" s="240"/>
      <c r="D47" s="240"/>
      <c r="E47" s="319"/>
      <c r="F47" s="319"/>
      <c r="G47" s="319"/>
      <c r="H47" s="63"/>
      <c r="I47" s="63"/>
      <c r="J47" s="63"/>
      <c r="K47" s="63"/>
      <c r="L47" s="63"/>
      <c r="M47" s="63"/>
      <c r="N47" s="63"/>
      <c r="O47" s="63"/>
      <c r="P47" s="63"/>
      <c r="Q47" s="63"/>
      <c r="R47" s="63"/>
      <c r="S47" s="63"/>
      <c r="T47" s="63"/>
      <c r="U47" s="63"/>
      <c r="V47" s="63"/>
      <c r="W47" s="63"/>
      <c r="X47" s="63"/>
      <c r="Y47" s="63"/>
    </row>
    <row r="48" spans="1:25" s="64" customFormat="1" ht="19.5" customHeight="1" x14ac:dyDescent="0.25">
      <c r="A48" s="244"/>
      <c r="B48" s="247"/>
      <c r="C48" s="248"/>
      <c r="D48" s="248"/>
      <c r="E48" s="247"/>
      <c r="F48" s="247"/>
      <c r="G48" s="247"/>
      <c r="H48" s="63"/>
      <c r="I48" s="63"/>
      <c r="J48" s="63"/>
      <c r="K48" s="63"/>
      <c r="L48" s="63"/>
      <c r="M48" s="63"/>
      <c r="N48" s="63"/>
      <c r="O48" s="63"/>
      <c r="P48" s="63"/>
      <c r="Q48" s="63"/>
      <c r="R48" s="63"/>
      <c r="S48" s="63"/>
      <c r="T48" s="63"/>
      <c r="U48" s="63"/>
      <c r="V48" s="63"/>
      <c r="W48" s="63"/>
      <c r="X48" s="63"/>
      <c r="Y48" s="63"/>
    </row>
    <row r="49" spans="1:25" s="64" customFormat="1" ht="19.5" customHeight="1" x14ac:dyDescent="0.25">
      <c r="A49" s="241"/>
      <c r="B49" s="249"/>
      <c r="C49" s="240"/>
      <c r="D49" s="240"/>
      <c r="E49" s="319"/>
      <c r="F49" s="319"/>
      <c r="G49" s="319"/>
      <c r="H49" s="63"/>
      <c r="I49" s="63"/>
      <c r="J49" s="63"/>
      <c r="K49" s="63"/>
      <c r="L49" s="63"/>
      <c r="M49" s="63"/>
      <c r="N49" s="63"/>
      <c r="O49" s="63"/>
      <c r="P49" s="63"/>
      <c r="Q49" s="63"/>
      <c r="R49" s="63"/>
      <c r="S49" s="63"/>
      <c r="T49" s="63"/>
      <c r="U49" s="63"/>
      <c r="V49" s="63"/>
      <c r="W49" s="63"/>
      <c r="X49" s="63"/>
      <c r="Y49" s="63"/>
    </row>
    <row r="50" spans="1:25" s="64" customFormat="1" ht="19.5" customHeight="1" x14ac:dyDescent="0.25">
      <c r="A50" s="244"/>
      <c r="B50" s="247"/>
      <c r="C50" s="248"/>
      <c r="D50" s="248"/>
      <c r="E50" s="247"/>
      <c r="F50" s="247"/>
      <c r="G50" s="247"/>
      <c r="H50" s="63"/>
      <c r="I50" s="63"/>
      <c r="J50" s="63"/>
      <c r="K50" s="63"/>
      <c r="L50" s="63"/>
      <c r="M50" s="63"/>
      <c r="N50" s="63"/>
      <c r="O50" s="63"/>
      <c r="P50" s="63"/>
      <c r="Q50" s="63"/>
      <c r="R50" s="63"/>
      <c r="S50" s="63"/>
      <c r="T50" s="63"/>
      <c r="U50" s="63"/>
      <c r="V50" s="63"/>
      <c r="W50" s="63"/>
      <c r="X50" s="63"/>
      <c r="Y50" s="63"/>
    </row>
    <row r="51" spans="1:25" s="64" customFormat="1" ht="19.5" customHeight="1" x14ac:dyDescent="0.25">
      <c r="A51" s="241"/>
      <c r="B51" s="249"/>
      <c r="C51" s="240"/>
      <c r="D51" s="240"/>
      <c r="E51" s="319"/>
      <c r="F51" s="319"/>
      <c r="G51" s="319"/>
      <c r="H51" s="63"/>
      <c r="I51" s="63"/>
      <c r="J51" s="63"/>
      <c r="K51" s="63"/>
      <c r="L51" s="63"/>
      <c r="M51" s="63"/>
      <c r="N51" s="63"/>
      <c r="O51" s="63"/>
      <c r="P51" s="63"/>
      <c r="Q51" s="63"/>
      <c r="R51" s="63"/>
      <c r="S51" s="63"/>
      <c r="T51" s="63"/>
      <c r="U51" s="63"/>
      <c r="V51" s="63"/>
      <c r="W51" s="63"/>
      <c r="X51" s="63"/>
      <c r="Y51" s="63"/>
    </row>
    <row r="52" spans="1:25" s="64" customFormat="1" ht="19.5" customHeight="1" x14ac:dyDescent="0.25">
      <c r="A52" s="419"/>
      <c r="B52" s="239"/>
      <c r="C52" s="238"/>
      <c r="D52" s="238"/>
      <c r="E52" s="239"/>
      <c r="F52" s="239"/>
      <c r="G52" s="239"/>
      <c r="H52" s="63"/>
      <c r="I52" s="63"/>
      <c r="J52" s="63"/>
      <c r="K52" s="63"/>
      <c r="L52" s="63"/>
      <c r="M52" s="63"/>
      <c r="N52" s="63"/>
      <c r="O52" s="63"/>
      <c r="P52" s="63"/>
      <c r="Q52" s="63"/>
      <c r="R52" s="63"/>
      <c r="S52" s="63"/>
      <c r="T52" s="63"/>
      <c r="U52" s="63"/>
      <c r="V52" s="63"/>
      <c r="W52" s="63"/>
      <c r="X52" s="63"/>
      <c r="Y52" s="63"/>
    </row>
    <row r="53" spans="1:25" s="3" customFormat="1" x14ac:dyDescent="0.25">
      <c r="A53" s="51" t="s">
        <v>1</v>
      </c>
      <c r="B53" s="50"/>
      <c r="C53" s="51">
        <f>SUM(C15:C52)</f>
        <v>0</v>
      </c>
      <c r="D53" s="51">
        <f>SUM(D15:D52)</f>
        <v>0</v>
      </c>
      <c r="E53" s="50">
        <f>SUM(E15:E52)</f>
        <v>0</v>
      </c>
      <c r="F53" s="50">
        <f t="shared" ref="F53:G53" si="0">SUM(F15:F52)</f>
        <v>0</v>
      </c>
      <c r="G53" s="50">
        <f t="shared" si="0"/>
        <v>0</v>
      </c>
    </row>
  </sheetData>
  <sheetProtection algorithmName="SHA-512" hashValue="aAThA6O0Pby0To/J/KzHa8QCCbvoiL5bXoUdHHmpz7rR2jyTgrN9HgPwsuM8bdGcqhxeIQDcb2g3cyTzvEZL+Q==" saltValue="Zr4+WRtKC8V3OsSscskM4A==" spinCount="100000" sheet="1" objects="1" scenarios="1"/>
  <customSheetViews>
    <customSheetView guid="{3FC92738-033B-4B68-8121-D7E87081064C}">
      <pane xSplit="2" ySplit="15" topLeftCell="C16" activePane="bottomRight" state="frozen"/>
      <selection pane="bottomRight" activeCell="C29" sqref="C29"/>
      <colBreaks count="1" manualBreakCount="1">
        <brk id="7" max="37" man="1"/>
      </colBreaks>
      <pageMargins left="0.78740157480314965" right="0.39370078740157483" top="0.78740157480314965" bottom="0.78740157480314965" header="0.51181102362204722" footer="0.31496062992125984"/>
      <pageSetup paperSize="9" scale="75" orientation="portrait" r:id="rId1"/>
      <headerFooter alignWithMargins="0">
        <oddHeader>&amp;RSeite &amp;P von &amp;N</oddHeader>
        <oddFooter>&amp;L&amp;A&amp;R&amp;D</oddFooter>
      </headerFooter>
    </customSheetView>
    <customSheetView guid="{E083F7BB-7916-4ABB-BDC7-6042584E3606}">
      <pane xSplit="2" ySplit="15" topLeftCell="C16" activePane="bottomRight" state="frozen"/>
      <selection pane="bottomRight" activeCell="C29" sqref="C29"/>
      <colBreaks count="1" manualBreakCount="1">
        <brk id="7" max="37" man="1"/>
      </colBreaks>
      <pageMargins left="0.78740157480314965" right="0.39370078740157483" top="0.78740157480314965" bottom="0.78740157480314965" header="0.51181102362204722" footer="0.31496062992125984"/>
      <pageSetup paperSize="9" scale="75" orientation="portrait" r:id="rId2"/>
      <headerFooter alignWithMargins="0">
        <oddHeader>&amp;RSeite &amp;P von &amp;N</oddHeader>
        <oddFooter>&amp;L&amp;A&amp;R&amp;D</oddFooter>
      </headerFooter>
    </customSheetView>
    <customSheetView guid="{ED1EFE49-5A07-488C-96A3-3B9FD4475C11}" showPageBreaks="1" printArea="1">
      <pane xSplit="2" ySplit="15" topLeftCell="C16" activePane="bottomRight" state="frozen"/>
      <selection pane="bottomRight" activeCell="D12" sqref="D12:E12"/>
      <colBreaks count="1" manualBreakCount="1">
        <brk id="7" max="37" man="1"/>
      </colBreaks>
      <pageMargins left="0.78740157480314965" right="0.39370078740157483" top="0.78740157480314965" bottom="0.78740157480314965" header="0.51181102362204722" footer="0.31496062992125984"/>
      <pageSetup paperSize="9" scale="75" orientation="portrait" r:id="rId3"/>
      <headerFooter alignWithMargins="0">
        <oddHeader>&amp;RSeite &amp;P von &amp;N</oddHeader>
        <oddFooter>&amp;L&amp;A&amp;R&amp;D</oddFooter>
      </headerFooter>
    </customSheetView>
  </customSheetViews>
  <mergeCells count="3">
    <mergeCell ref="D10:E10"/>
    <mergeCell ref="D11:E11"/>
    <mergeCell ref="D12:E12"/>
  </mergeCells>
  <dataValidations count="1">
    <dataValidation type="whole" allowBlank="1" showInputMessage="1" showErrorMessage="1" prompt="Nur ganze Zahlen eingeben" sqref="C15:D52" xr:uid="{00000000-0002-0000-0A00-000000000000}">
      <formula1>1</formula1>
      <formula2>1000000000</formula2>
    </dataValidation>
  </dataValidations>
  <pageMargins left="0.78740157480314965" right="0.39370078740157483" top="0.78740157480314965" bottom="0.78740157480314965" header="0.51181102362204722" footer="0.31496062992125984"/>
  <pageSetup paperSize="9" scale="75" orientation="portrait" r:id="rId4"/>
  <headerFooter alignWithMargins="0">
    <oddHeader>&amp;R &amp;P / &amp;N</oddHeader>
    <oddFooter>&amp;L&amp;A&amp;R&amp;D</oddFooter>
  </headerFooter>
  <colBreaks count="1" manualBreakCount="1">
    <brk id="7"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49"/>
  <sheetViews>
    <sheetView zoomScaleNormal="100" workbookViewId="0">
      <selection activeCell="A5" sqref="A5:F5"/>
    </sheetView>
  </sheetViews>
  <sheetFormatPr baseColWidth="10" defaultColWidth="11.44140625" defaultRowHeight="13.2" x14ac:dyDescent="0.25"/>
  <cols>
    <col min="1" max="1" width="4.5546875" style="2" customWidth="1"/>
    <col min="2" max="2" width="39.44140625" style="2" customWidth="1"/>
    <col min="3" max="3" width="13.5546875" style="2" customWidth="1"/>
    <col min="4" max="4" width="16.5546875" style="2" customWidth="1"/>
    <col min="5" max="5" width="20.109375" style="2" customWidth="1"/>
    <col min="6" max="6" width="19.5546875" style="2" customWidth="1"/>
    <col min="7" max="9" width="18.5546875" style="2" customWidth="1"/>
    <col min="10" max="10" width="11.5546875" style="2" bestFit="1" customWidth="1"/>
    <col min="11" max="16384" width="11.44140625" style="2"/>
  </cols>
  <sheetData>
    <row r="1" spans="1:6" s="20" customFormat="1" ht="15.6" x14ac:dyDescent="0.3">
      <c r="A1" s="1" t="s">
        <v>167</v>
      </c>
      <c r="F1" s="23" t="s">
        <v>327</v>
      </c>
    </row>
    <row r="2" spans="1:6" s="7" customFormat="1" ht="15" x14ac:dyDescent="0.25">
      <c r="F2" s="86"/>
    </row>
    <row r="3" spans="1:6" ht="17.25" customHeight="1" x14ac:dyDescent="0.25">
      <c r="A3" s="10" t="s">
        <v>139</v>
      </c>
      <c r="C3" s="97"/>
      <c r="D3" s="97"/>
      <c r="E3"/>
      <c r="F3" s="105">
        <v>2024</v>
      </c>
    </row>
    <row r="4" spans="1:6" x14ac:dyDescent="0.25">
      <c r="A4" s="3" t="s">
        <v>173</v>
      </c>
    </row>
    <row r="5" spans="1:6" x14ac:dyDescent="0.25">
      <c r="A5" s="469"/>
      <c r="B5" s="471"/>
      <c r="C5" s="471"/>
      <c r="D5" s="471"/>
      <c r="E5" s="471"/>
      <c r="F5" s="471"/>
    </row>
    <row r="6" spans="1:6" x14ac:dyDescent="0.25">
      <c r="A6" s="469"/>
      <c r="B6" s="471"/>
      <c r="C6" s="471"/>
      <c r="D6" s="471"/>
      <c r="E6" s="471"/>
      <c r="F6" s="471"/>
    </row>
    <row r="7" spans="1:6" ht="20.25" customHeight="1" x14ac:dyDescent="0.25">
      <c r="A7" s="12" t="s">
        <v>140</v>
      </c>
      <c r="B7" s="11"/>
      <c r="E7" s="491">
        <f>'1 Récapitulation'!E10</f>
        <v>0</v>
      </c>
      <c r="F7" s="492"/>
    </row>
    <row r="8" spans="1:6" ht="20.25" customHeight="1" x14ac:dyDescent="0.25">
      <c r="A8" s="12" t="s">
        <v>141</v>
      </c>
      <c r="B8" s="11"/>
      <c r="E8" s="529"/>
      <c r="F8" s="554"/>
    </row>
    <row r="9" spans="1:6" x14ac:dyDescent="0.25">
      <c r="A9" s="3" t="s">
        <v>142</v>
      </c>
    </row>
    <row r="10" spans="1:6" x14ac:dyDescent="0.25">
      <c r="A10" s="469"/>
      <c r="B10" s="551"/>
      <c r="C10" s="551"/>
      <c r="D10" s="551"/>
      <c r="E10" s="551"/>
      <c r="F10" s="551"/>
    </row>
    <row r="11" spans="1:6" x14ac:dyDescent="0.25">
      <c r="A11" s="469"/>
      <c r="B11" s="551"/>
      <c r="C11" s="551"/>
      <c r="D11" s="551"/>
      <c r="E11" s="551"/>
      <c r="F11" s="551"/>
    </row>
    <row r="12" spans="1:6" s="20" customFormat="1" x14ac:dyDescent="0.25"/>
    <row r="13" spans="1:6" ht="15.6" x14ac:dyDescent="0.25">
      <c r="A13" s="6" t="s">
        <v>175</v>
      </c>
    </row>
    <row r="14" spans="1:6" ht="15.6" x14ac:dyDescent="0.25">
      <c r="A14" s="6"/>
    </row>
    <row r="15" spans="1:6" s="35" customFormat="1" ht="51.75" customHeight="1" x14ac:dyDescent="0.25">
      <c r="A15" s="541" t="s">
        <v>556</v>
      </c>
      <c r="B15" s="539"/>
      <c r="C15" s="539"/>
      <c r="D15" s="539"/>
      <c r="E15" s="540"/>
      <c r="F15" s="397"/>
    </row>
    <row r="16" spans="1:6" s="35" customFormat="1" ht="25.5" customHeight="1" x14ac:dyDescent="0.25">
      <c r="A16" s="541" t="s">
        <v>401</v>
      </c>
      <c r="B16" s="539"/>
      <c r="C16" s="539"/>
      <c r="D16" s="539"/>
      <c r="E16" s="540"/>
      <c r="F16" s="398"/>
    </row>
    <row r="17" spans="1:7" ht="24.75" customHeight="1" x14ac:dyDescent="0.25">
      <c r="A17" s="541" t="s">
        <v>399</v>
      </c>
      <c r="B17" s="539"/>
      <c r="C17" s="539"/>
      <c r="D17" s="539"/>
      <c r="E17" s="540"/>
      <c r="F17" s="24"/>
    </row>
    <row r="18" spans="1:7" x14ac:dyDescent="0.25">
      <c r="A18" s="541" t="s">
        <v>1</v>
      </c>
      <c r="B18" s="539"/>
      <c r="C18" s="539"/>
      <c r="D18" s="539"/>
      <c r="E18" s="540"/>
      <c r="F18" s="25">
        <f>SUM(F15:F17)</f>
        <v>0</v>
      </c>
    </row>
    <row r="19" spans="1:7" ht="15.6" x14ac:dyDescent="0.25">
      <c r="A19" s="6"/>
    </row>
    <row r="20" spans="1:7" x14ac:dyDescent="0.25">
      <c r="A20" s="106" t="s">
        <v>410</v>
      </c>
    </row>
    <row r="21" spans="1:7" ht="24.75" customHeight="1" x14ac:dyDescent="0.25">
      <c r="A21" s="541" t="s">
        <v>328</v>
      </c>
      <c r="B21" s="539"/>
      <c r="C21" s="539"/>
      <c r="D21" s="539"/>
      <c r="E21" s="540"/>
      <c r="F21" s="303"/>
    </row>
    <row r="22" spans="1:7" ht="12.75" customHeight="1" x14ac:dyDescent="0.25">
      <c r="A22" s="541" t="s">
        <v>329</v>
      </c>
      <c r="B22" s="539"/>
      <c r="C22" s="539"/>
      <c r="D22" s="539"/>
      <c r="E22" s="540"/>
      <c r="F22" s="304"/>
    </row>
    <row r="23" spans="1:7" ht="12.75" customHeight="1" x14ac:dyDescent="0.25">
      <c r="A23" s="541" t="s">
        <v>330</v>
      </c>
      <c r="B23" s="543"/>
      <c r="C23" s="543"/>
      <c r="D23" s="543"/>
      <c r="E23" s="544"/>
      <c r="F23" s="301">
        <f>F21-F22</f>
        <v>0</v>
      </c>
    </row>
    <row r="24" spans="1:7" ht="12.75" customHeight="1" x14ac:dyDescent="0.25">
      <c r="A24" s="541" t="s">
        <v>331</v>
      </c>
      <c r="B24" s="552"/>
      <c r="C24" s="552"/>
      <c r="D24" s="552"/>
      <c r="E24" s="553"/>
      <c r="F24" s="301">
        <f>'2e Soins médicaux d''urgence'!C66</f>
        <v>0</v>
      </c>
    </row>
    <row r="25" spans="1:7" ht="12.75" customHeight="1" x14ac:dyDescent="0.25">
      <c r="A25" s="542" t="s">
        <v>332</v>
      </c>
      <c r="B25" s="552"/>
      <c r="C25" s="552"/>
      <c r="D25" s="552"/>
      <c r="E25" s="553"/>
      <c r="F25" s="301">
        <f>SUM(F23:F24)</f>
        <v>0</v>
      </c>
    </row>
    <row r="26" spans="1:7" ht="13.35" customHeight="1" x14ac:dyDescent="0.25">
      <c r="A26" s="541" t="s">
        <v>333</v>
      </c>
      <c r="B26" s="539"/>
      <c r="C26" s="539"/>
      <c r="D26" s="539"/>
      <c r="E26" s="540"/>
      <c r="F26" s="323">
        <v>2450</v>
      </c>
    </row>
    <row r="27" spans="1:7" s="3" customFormat="1" ht="12.75" customHeight="1" x14ac:dyDescent="0.25">
      <c r="A27" s="542" t="s">
        <v>334</v>
      </c>
      <c r="B27" s="543"/>
      <c r="C27" s="543"/>
      <c r="D27" s="543"/>
      <c r="E27" s="544"/>
      <c r="F27" s="112">
        <f>F25*F26</f>
        <v>0</v>
      </c>
      <c r="G27" s="107"/>
    </row>
    <row r="28" spans="1:7" s="20" customFormat="1" ht="30" customHeight="1" x14ac:dyDescent="0.25">
      <c r="A28" s="545" t="s">
        <v>335</v>
      </c>
      <c r="B28" s="546"/>
      <c r="C28" s="546"/>
      <c r="D28" s="546"/>
      <c r="E28" s="546"/>
    </row>
    <row r="29" spans="1:7" s="20" customFormat="1" x14ac:dyDescent="0.25">
      <c r="A29" s="210"/>
      <c r="B29" s="211"/>
      <c r="C29" s="211"/>
      <c r="D29" s="211"/>
      <c r="E29" s="211"/>
    </row>
    <row r="30" spans="1:7" s="20" customFormat="1" x14ac:dyDescent="0.25">
      <c r="A30" s="107" t="s">
        <v>421</v>
      </c>
      <c r="B30" s="211"/>
      <c r="C30" s="211"/>
      <c r="D30" s="211"/>
      <c r="E30" s="211"/>
    </row>
    <row r="31" spans="1:7" s="20" customFormat="1" x14ac:dyDescent="0.25">
      <c r="A31" s="27" t="s">
        <v>422</v>
      </c>
      <c r="B31" s="211"/>
      <c r="C31" s="211"/>
      <c r="D31" s="211"/>
      <c r="E31" s="211"/>
      <c r="G31" s="27"/>
    </row>
    <row r="32" spans="1:7" ht="13.35" customHeight="1" x14ac:dyDescent="0.25">
      <c r="A32" s="541" t="s">
        <v>423</v>
      </c>
      <c r="B32" s="539"/>
      <c r="C32" s="539"/>
      <c r="D32" s="539"/>
      <c r="E32" s="540"/>
      <c r="F32" s="303"/>
      <c r="G32" s="107"/>
    </row>
    <row r="33" spans="1:7" ht="13.35" customHeight="1" x14ac:dyDescent="0.25">
      <c r="A33" s="542" t="s">
        <v>332</v>
      </c>
      <c r="B33" s="543"/>
      <c r="C33" s="543"/>
      <c r="D33" s="543"/>
      <c r="E33" s="544"/>
      <c r="F33" s="301">
        <f>F32</f>
        <v>0</v>
      </c>
    </row>
    <row r="34" spans="1:7" ht="13.35" customHeight="1" x14ac:dyDescent="0.25">
      <c r="A34" s="541" t="s">
        <v>333</v>
      </c>
      <c r="B34" s="539"/>
      <c r="C34" s="539"/>
      <c r="D34" s="539"/>
      <c r="E34" s="540"/>
      <c r="F34" s="323">
        <f>F26</f>
        <v>2450</v>
      </c>
    </row>
    <row r="35" spans="1:7" s="3" customFormat="1" x14ac:dyDescent="0.25">
      <c r="A35" s="542" t="s">
        <v>334</v>
      </c>
      <c r="B35" s="543"/>
      <c r="C35" s="543"/>
      <c r="D35" s="543"/>
      <c r="E35" s="544"/>
      <c r="F35" s="112">
        <f>F33*F34</f>
        <v>0</v>
      </c>
      <c r="G35" s="107"/>
    </row>
    <row r="36" spans="1:7" s="20" customFormat="1" x14ac:dyDescent="0.25">
      <c r="A36" s="210"/>
      <c r="B36" s="211"/>
      <c r="C36" s="211"/>
      <c r="D36" s="211"/>
      <c r="E36" s="211"/>
    </row>
    <row r="37" spans="1:7" x14ac:dyDescent="0.25">
      <c r="A37" s="106" t="s">
        <v>336</v>
      </c>
    </row>
    <row r="38" spans="1:7" ht="28.5" customHeight="1" x14ac:dyDescent="0.25">
      <c r="A38" s="541" t="s">
        <v>402</v>
      </c>
      <c r="B38" s="539"/>
      <c r="C38" s="539"/>
      <c r="D38" s="539"/>
      <c r="E38" s="540"/>
      <c r="F38" s="303"/>
    </row>
    <row r="39" spans="1:7" ht="27" customHeight="1" x14ac:dyDescent="0.25">
      <c r="A39" s="541" t="s">
        <v>424</v>
      </c>
      <c r="B39" s="549"/>
      <c r="C39" s="549"/>
      <c r="D39" s="549"/>
      <c r="E39" s="550"/>
      <c r="F39" s="304"/>
    </row>
    <row r="40" spans="1:7" ht="28.5" customHeight="1" x14ac:dyDescent="0.25">
      <c r="A40" s="535" t="s">
        <v>425</v>
      </c>
      <c r="B40" s="536"/>
      <c r="C40" s="536"/>
      <c r="D40" s="536"/>
      <c r="E40" s="537"/>
      <c r="F40" s="411"/>
    </row>
    <row r="41" spans="1:7" ht="13.35" customHeight="1" x14ac:dyDescent="0.25">
      <c r="A41" s="541" t="s">
        <v>332</v>
      </c>
      <c r="B41" s="547"/>
      <c r="C41" s="547"/>
      <c r="D41" s="547"/>
      <c r="E41" s="548"/>
      <c r="F41" s="305">
        <f>SUM(F38:F40)</f>
        <v>0</v>
      </c>
    </row>
    <row r="42" spans="1:7" ht="24.75" customHeight="1" x14ac:dyDescent="0.25">
      <c r="A42" s="541" t="s">
        <v>469</v>
      </c>
      <c r="B42" s="539"/>
      <c r="C42" s="539"/>
      <c r="D42" s="539"/>
      <c r="E42" s="540">
        <v>0.25</v>
      </c>
      <c r="F42" s="117">
        <f>(F23+F33)*25/100</f>
        <v>0</v>
      </c>
    </row>
    <row r="43" spans="1:7" ht="13.35" customHeight="1" x14ac:dyDescent="0.25">
      <c r="A43" s="542" t="s">
        <v>337</v>
      </c>
      <c r="B43" s="543"/>
      <c r="C43" s="543"/>
      <c r="D43" s="543"/>
      <c r="E43" s="544"/>
      <c r="F43" s="112">
        <f>IF(F41&gt;F42,F42,F41)</f>
        <v>0</v>
      </c>
    </row>
    <row r="44" spans="1:7" ht="13.35" customHeight="1" x14ac:dyDescent="0.25">
      <c r="A44" s="541" t="s">
        <v>333</v>
      </c>
      <c r="B44" s="539"/>
      <c r="C44" s="539"/>
      <c r="D44" s="539"/>
      <c r="E44" s="540"/>
      <c r="F44" s="323">
        <v>1225</v>
      </c>
    </row>
    <row r="45" spans="1:7" s="3" customFormat="1" ht="12.75" customHeight="1" x14ac:dyDescent="0.25">
      <c r="A45" s="542" t="s">
        <v>338</v>
      </c>
      <c r="B45" s="543"/>
      <c r="C45" s="543"/>
      <c r="D45" s="543"/>
      <c r="E45" s="544"/>
      <c r="F45" s="112">
        <f>F43*F44</f>
        <v>0</v>
      </c>
      <c r="G45" s="107"/>
    </row>
    <row r="46" spans="1:7" ht="39.75" customHeight="1" x14ac:dyDescent="0.25">
      <c r="A46" s="545" t="s">
        <v>426</v>
      </c>
      <c r="B46" s="546"/>
      <c r="C46" s="546"/>
      <c r="D46" s="546"/>
      <c r="E46" s="546"/>
    </row>
    <row r="47" spans="1:7" x14ac:dyDescent="0.25">
      <c r="A47" s="20"/>
      <c r="B47"/>
      <c r="C47"/>
      <c r="D47"/>
      <c r="E47"/>
    </row>
    <row r="48" spans="1:7" x14ac:dyDescent="0.25">
      <c r="A48" s="106" t="s">
        <v>339</v>
      </c>
    </row>
    <row r="49" spans="1:7" ht="25.5" customHeight="1" x14ac:dyDescent="0.25">
      <c r="A49" s="541" t="s">
        <v>427</v>
      </c>
      <c r="B49" s="539"/>
      <c r="C49" s="539"/>
      <c r="D49" s="539"/>
      <c r="E49" s="540"/>
      <c r="F49" s="303"/>
    </row>
    <row r="50" spans="1:7" ht="13.35" customHeight="1" x14ac:dyDescent="0.25">
      <c r="A50" s="541" t="s">
        <v>340</v>
      </c>
      <c r="B50" s="539"/>
      <c r="C50" s="539"/>
      <c r="D50" s="539"/>
      <c r="E50" s="540"/>
      <c r="F50" s="304"/>
    </row>
    <row r="51" spans="1:7" ht="24.75" customHeight="1" x14ac:dyDescent="0.25">
      <c r="A51" s="541" t="s">
        <v>428</v>
      </c>
      <c r="B51" s="539"/>
      <c r="C51" s="539"/>
      <c r="D51" s="539"/>
      <c r="E51" s="540"/>
      <c r="F51" s="303"/>
    </row>
    <row r="52" spans="1:7" ht="13.35" customHeight="1" x14ac:dyDescent="0.25">
      <c r="A52" s="541" t="s">
        <v>341</v>
      </c>
      <c r="B52" s="539"/>
      <c r="C52" s="539"/>
      <c r="D52" s="539"/>
      <c r="E52" s="540"/>
      <c r="F52" s="304"/>
    </row>
    <row r="53" spans="1:7" ht="25.5" customHeight="1" x14ac:dyDescent="0.25">
      <c r="A53" s="541" t="s">
        <v>342</v>
      </c>
      <c r="B53" s="539"/>
      <c r="C53" s="539"/>
      <c r="D53" s="539"/>
      <c r="E53" s="540"/>
      <c r="F53" s="303"/>
    </row>
    <row r="54" spans="1:7" ht="13.35" customHeight="1" x14ac:dyDescent="0.25">
      <c r="A54" s="542" t="s">
        <v>332</v>
      </c>
      <c r="B54" s="543"/>
      <c r="C54" s="543"/>
      <c r="D54" s="543"/>
      <c r="E54" s="544"/>
      <c r="F54" s="301">
        <f>SUM(F49:F53)</f>
        <v>0</v>
      </c>
    </row>
    <row r="55" spans="1:7" ht="13.35" customHeight="1" x14ac:dyDescent="0.25">
      <c r="A55" s="541" t="s">
        <v>333</v>
      </c>
      <c r="B55" s="539"/>
      <c r="C55" s="539"/>
      <c r="D55" s="539"/>
      <c r="E55" s="540"/>
      <c r="F55" s="323">
        <v>397</v>
      </c>
    </row>
    <row r="56" spans="1:7" s="3" customFormat="1" ht="12.75" customHeight="1" x14ac:dyDescent="0.25">
      <c r="A56" s="542" t="s">
        <v>334</v>
      </c>
      <c r="B56" s="543"/>
      <c r="C56" s="543"/>
      <c r="D56" s="543"/>
      <c r="E56" s="544"/>
      <c r="F56" s="112">
        <f>F54*F55</f>
        <v>0</v>
      </c>
      <c r="G56" s="107"/>
    </row>
    <row r="57" spans="1:7" x14ac:dyDescent="0.25">
      <c r="A57" s="20"/>
      <c r="B57"/>
      <c r="C57"/>
      <c r="D57"/>
      <c r="E57"/>
    </row>
    <row r="58" spans="1:7" x14ac:dyDescent="0.25">
      <c r="A58" s="106" t="s">
        <v>343</v>
      </c>
    </row>
    <row r="59" spans="1:7" ht="26.25" customHeight="1" x14ac:dyDescent="0.25">
      <c r="A59" s="541" t="s">
        <v>344</v>
      </c>
      <c r="B59" s="539"/>
      <c r="C59" s="539"/>
      <c r="D59" s="539"/>
      <c r="E59" s="540"/>
      <c r="F59" s="303"/>
    </row>
    <row r="60" spans="1:7" ht="13.35" customHeight="1" x14ac:dyDescent="0.25">
      <c r="A60" s="542" t="s">
        <v>332</v>
      </c>
      <c r="B60" s="543"/>
      <c r="C60" s="543"/>
      <c r="D60" s="543"/>
      <c r="E60" s="544"/>
      <c r="F60" s="301">
        <f>F59</f>
        <v>0</v>
      </c>
    </row>
    <row r="61" spans="1:7" ht="13.35" customHeight="1" x14ac:dyDescent="0.25">
      <c r="A61" s="541" t="s">
        <v>333</v>
      </c>
      <c r="B61" s="539"/>
      <c r="C61" s="539"/>
      <c r="D61" s="539"/>
      <c r="E61" s="540"/>
      <c r="F61" s="323">
        <v>516</v>
      </c>
    </row>
    <row r="62" spans="1:7" s="3" customFormat="1" ht="12.75" customHeight="1" x14ac:dyDescent="0.25">
      <c r="A62" s="542" t="s">
        <v>334</v>
      </c>
      <c r="B62" s="543"/>
      <c r="C62" s="543"/>
      <c r="D62" s="543"/>
      <c r="E62" s="544"/>
      <c r="F62" s="112">
        <f>F60*F61</f>
        <v>0</v>
      </c>
      <c r="G62" s="107"/>
    </row>
    <row r="63" spans="1:7" s="3" customFormat="1" ht="12.75" customHeight="1" x14ac:dyDescent="0.25">
      <c r="A63" s="403"/>
      <c r="B63" s="75"/>
      <c r="C63" s="75"/>
      <c r="D63" s="75"/>
      <c r="E63" s="75"/>
      <c r="G63" s="107"/>
    </row>
    <row r="64" spans="1:7" x14ac:dyDescent="0.25">
      <c r="A64" s="3" t="s">
        <v>345</v>
      </c>
      <c r="B64"/>
      <c r="C64"/>
      <c r="D64"/>
      <c r="E64"/>
    </row>
    <row r="65" spans="1:7" s="20" customFormat="1" ht="12.75" customHeight="1" x14ac:dyDescent="0.25">
      <c r="A65" s="541" t="s">
        <v>411</v>
      </c>
      <c r="B65" s="539"/>
      <c r="C65" s="539"/>
      <c r="D65" s="539"/>
      <c r="E65" s="540"/>
      <c r="F65" s="14">
        <f>F27</f>
        <v>0</v>
      </c>
    </row>
    <row r="66" spans="1:7" s="20" customFormat="1" ht="12.75" customHeight="1" x14ac:dyDescent="0.25">
      <c r="A66" s="538" t="s">
        <v>432</v>
      </c>
      <c r="B66" s="539"/>
      <c r="C66" s="539"/>
      <c r="D66" s="539"/>
      <c r="E66" s="540"/>
      <c r="F66" s="14">
        <f>F35</f>
        <v>0</v>
      </c>
    </row>
    <row r="67" spans="1:7" s="20" customFormat="1" ht="12.75" customHeight="1" x14ac:dyDescent="0.25">
      <c r="A67" s="538" t="s">
        <v>346</v>
      </c>
      <c r="B67" s="539"/>
      <c r="C67" s="539"/>
      <c r="D67" s="539"/>
      <c r="E67" s="540"/>
      <c r="F67" s="14">
        <f>F45</f>
        <v>0</v>
      </c>
    </row>
    <row r="68" spans="1:7" s="20" customFormat="1" ht="12.75" customHeight="1" x14ac:dyDescent="0.25">
      <c r="A68" s="538" t="s">
        <v>347</v>
      </c>
      <c r="B68" s="539"/>
      <c r="C68" s="539"/>
      <c r="D68" s="539"/>
      <c r="E68" s="540"/>
      <c r="F68" s="14">
        <f>F56</f>
        <v>0</v>
      </c>
    </row>
    <row r="69" spans="1:7" s="20" customFormat="1" ht="12.75" customHeight="1" x14ac:dyDescent="0.25">
      <c r="A69" s="538" t="s">
        <v>348</v>
      </c>
      <c r="B69" s="539"/>
      <c r="C69" s="539"/>
      <c r="D69" s="539"/>
      <c r="E69" s="540"/>
      <c r="F69" s="14">
        <f>F62</f>
        <v>0</v>
      </c>
    </row>
    <row r="70" spans="1:7" s="3" customFormat="1" ht="12.75" customHeight="1" x14ac:dyDescent="0.25">
      <c r="A70" s="570" t="s">
        <v>349</v>
      </c>
      <c r="B70" s="543"/>
      <c r="C70" s="543"/>
      <c r="D70" s="543"/>
      <c r="E70" s="544"/>
      <c r="F70" s="112">
        <f>SUM(F65:F69)</f>
        <v>0</v>
      </c>
    </row>
    <row r="71" spans="1:7" s="3" customFormat="1" ht="12.75" customHeight="1" x14ac:dyDescent="0.25">
      <c r="A71" s="570" t="s">
        <v>350</v>
      </c>
      <c r="B71" s="543"/>
      <c r="C71" s="543"/>
      <c r="D71" s="543"/>
      <c r="E71" s="544"/>
      <c r="F71" s="14">
        <f>F17</f>
        <v>0</v>
      </c>
      <c r="G71" s="107"/>
    </row>
    <row r="72" spans="1:7" s="1" customFormat="1" ht="15.75" customHeight="1" x14ac:dyDescent="0.3">
      <c r="A72" s="571" t="s">
        <v>496</v>
      </c>
      <c r="B72" s="547"/>
      <c r="C72" s="547"/>
      <c r="D72" s="547"/>
      <c r="E72" s="548"/>
      <c r="F72" s="13">
        <f>SUM(F70:F71)</f>
        <v>0</v>
      </c>
    </row>
    <row r="73" spans="1:7" x14ac:dyDescent="0.25">
      <c r="A73" s="20"/>
      <c r="B73"/>
      <c r="C73"/>
      <c r="D73"/>
      <c r="E73"/>
    </row>
    <row r="74" spans="1:7" ht="15.6" x14ac:dyDescent="0.3">
      <c r="A74" s="108" t="s">
        <v>497</v>
      </c>
      <c r="B74" s="109"/>
      <c r="C74" s="109"/>
      <c r="D74" s="109"/>
      <c r="E74" s="109"/>
      <c r="F74" s="113"/>
    </row>
    <row r="75" spans="1:7" x14ac:dyDescent="0.25">
      <c r="A75" s="110" t="s">
        <v>498</v>
      </c>
      <c r="B75" s="109"/>
      <c r="C75" s="109"/>
      <c r="D75" s="109"/>
      <c r="E75" s="109"/>
      <c r="F75" s="113"/>
    </row>
    <row r="76" spans="1:7" x14ac:dyDescent="0.25">
      <c r="A76" s="110" t="s">
        <v>499</v>
      </c>
      <c r="B76" s="109"/>
      <c r="C76" s="109"/>
      <c r="D76" s="109"/>
      <c r="E76" s="109"/>
      <c r="F76" s="113"/>
    </row>
    <row r="77" spans="1:7" x14ac:dyDescent="0.25">
      <c r="A77" s="110" t="s">
        <v>500</v>
      </c>
      <c r="B77" s="109"/>
      <c r="C77" s="109"/>
      <c r="D77" s="109"/>
      <c r="E77" s="109"/>
      <c r="F77" s="113"/>
    </row>
    <row r="78" spans="1:7" x14ac:dyDescent="0.25">
      <c r="A78" s="110" t="s">
        <v>351</v>
      </c>
      <c r="B78" s="109"/>
      <c r="C78" s="109"/>
      <c r="D78" s="109"/>
      <c r="E78" s="109"/>
      <c r="F78" s="113"/>
    </row>
    <row r="79" spans="1:7" x14ac:dyDescent="0.25">
      <c r="A79" s="20"/>
      <c r="B79"/>
      <c r="C79"/>
      <c r="D79"/>
      <c r="E79"/>
    </row>
    <row r="80" spans="1:7" ht="30" customHeight="1" x14ac:dyDescent="0.25">
      <c r="A80" s="107" t="s">
        <v>501</v>
      </c>
      <c r="B80"/>
      <c r="C80"/>
      <c r="D80"/>
      <c r="E80"/>
    </row>
    <row r="81" spans="1:12" s="20" customFormat="1" ht="12.75" customHeight="1" x14ac:dyDescent="0.25">
      <c r="A81" s="559" t="s">
        <v>502</v>
      </c>
      <c r="B81" s="560"/>
      <c r="C81" s="560"/>
      <c r="D81" s="560"/>
      <c r="E81" s="560"/>
      <c r="F81" s="98"/>
      <c r="H81" s="566"/>
      <c r="I81" s="567"/>
      <c r="J81" s="567"/>
      <c r="K81" s="567"/>
      <c r="L81" s="567"/>
    </row>
    <row r="82" spans="1:12" s="20" customFormat="1" ht="12.75" customHeight="1" x14ac:dyDescent="0.25">
      <c r="A82" s="559" t="s">
        <v>503</v>
      </c>
      <c r="B82" s="560"/>
      <c r="C82" s="560"/>
      <c r="D82" s="560"/>
      <c r="E82" s="560"/>
      <c r="F82" s="98"/>
      <c r="H82" s="413"/>
      <c r="I82" s="396"/>
      <c r="J82" s="396"/>
      <c r="K82" s="396"/>
      <c r="L82" s="396"/>
    </row>
    <row r="83" spans="1:12" s="20" customFormat="1" ht="13.35" customHeight="1" x14ac:dyDescent="0.25">
      <c r="A83" s="559" t="s">
        <v>504</v>
      </c>
      <c r="B83" s="560"/>
      <c r="C83" s="560"/>
      <c r="D83" s="560"/>
      <c r="E83" s="560"/>
      <c r="F83" s="98"/>
    </row>
    <row r="84" spans="1:12" s="20" customFormat="1" ht="13.35" customHeight="1" x14ac:dyDescent="0.25">
      <c r="A84" s="559" t="s">
        <v>505</v>
      </c>
      <c r="B84" s="560"/>
      <c r="C84" s="560"/>
      <c r="D84" s="560"/>
      <c r="E84" s="560"/>
      <c r="F84" s="98"/>
    </row>
    <row r="85" spans="1:12" s="20" customFormat="1" ht="13.35" customHeight="1" x14ac:dyDescent="0.25">
      <c r="A85" s="559" t="s">
        <v>506</v>
      </c>
      <c r="B85" s="560"/>
      <c r="C85" s="560"/>
      <c r="D85" s="560"/>
      <c r="E85" s="560"/>
      <c r="F85" s="98"/>
    </row>
    <row r="86" spans="1:12" s="20" customFormat="1" ht="13.35" customHeight="1" x14ac:dyDescent="0.25">
      <c r="A86" s="559" t="s">
        <v>507</v>
      </c>
      <c r="B86" s="560"/>
      <c r="C86" s="560"/>
      <c r="D86" s="560"/>
      <c r="E86" s="560"/>
      <c r="F86" s="98"/>
    </row>
    <row r="87" spans="1:12" s="464" customFormat="1" ht="30" customHeight="1" x14ac:dyDescent="0.25">
      <c r="A87" s="462" t="s">
        <v>522</v>
      </c>
      <c r="B87" s="463"/>
      <c r="C87" s="463"/>
      <c r="D87" s="463"/>
      <c r="E87" s="463"/>
    </row>
    <row r="88" spans="1:12" s="20" customFormat="1" ht="12.6" customHeight="1" x14ac:dyDescent="0.25">
      <c r="A88" s="541" t="s">
        <v>523</v>
      </c>
      <c r="B88" s="549"/>
      <c r="C88" s="549"/>
      <c r="D88" s="549"/>
      <c r="E88" s="550"/>
      <c r="F88" s="104"/>
    </row>
    <row r="89" spans="1:12" s="20" customFormat="1" ht="27" customHeight="1" x14ac:dyDescent="0.25">
      <c r="A89" s="559" t="s">
        <v>524</v>
      </c>
      <c r="B89" s="560"/>
      <c r="C89" s="560"/>
      <c r="D89" s="560"/>
      <c r="E89" s="560"/>
      <c r="F89" s="104"/>
    </row>
    <row r="90" spans="1:12" s="20" customFormat="1" ht="25.5" customHeight="1" x14ac:dyDescent="0.25">
      <c r="A90" s="572" t="s">
        <v>557</v>
      </c>
      <c r="B90" s="573"/>
      <c r="C90" s="573"/>
      <c r="D90" s="573"/>
      <c r="E90" s="573"/>
      <c r="F90" s="104"/>
      <c r="G90" s="452"/>
    </row>
    <row r="91" spans="1:12" s="20" customFormat="1" x14ac:dyDescent="0.25">
      <c r="A91" s="559" t="s">
        <v>541</v>
      </c>
      <c r="B91" s="560"/>
      <c r="C91" s="560"/>
      <c r="D91" s="560"/>
      <c r="E91" s="560"/>
      <c r="F91" s="104"/>
    </row>
    <row r="92" spans="1:12" s="20" customFormat="1" x14ac:dyDescent="0.25">
      <c r="A92" s="559" t="s">
        <v>525</v>
      </c>
      <c r="B92" s="560"/>
      <c r="C92" s="560"/>
      <c r="D92" s="560"/>
      <c r="E92" s="560"/>
      <c r="F92" s="104"/>
    </row>
    <row r="93" spans="1:12" s="20" customFormat="1" x14ac:dyDescent="0.25">
      <c r="A93" s="559" t="s">
        <v>526</v>
      </c>
      <c r="B93" s="560"/>
      <c r="C93" s="560"/>
      <c r="D93" s="560"/>
      <c r="E93" s="560"/>
      <c r="F93" s="104"/>
    </row>
    <row r="94" spans="1:12" s="20" customFormat="1" x14ac:dyDescent="0.25">
      <c r="A94" s="559" t="s">
        <v>527</v>
      </c>
      <c r="B94" s="560"/>
      <c r="C94" s="560"/>
      <c r="D94" s="560"/>
      <c r="E94" s="560"/>
      <c r="F94" s="104"/>
    </row>
    <row r="95" spans="1:12" x14ac:dyDescent="0.25">
      <c r="A95" s="20" t="s">
        <v>508</v>
      </c>
      <c r="B95"/>
      <c r="C95"/>
      <c r="D95"/>
      <c r="E95"/>
    </row>
    <row r="96" spans="1:12" x14ac:dyDescent="0.25">
      <c r="A96" s="20"/>
      <c r="B96"/>
      <c r="C96"/>
      <c r="D96"/>
      <c r="E96"/>
    </row>
    <row r="97" spans="1:7" ht="20.100000000000001" customHeight="1" x14ac:dyDescent="0.25">
      <c r="A97" s="20"/>
      <c r="B97"/>
      <c r="C97"/>
      <c r="D97"/>
      <c r="E97"/>
    </row>
    <row r="98" spans="1:7" s="176" customFormat="1" ht="18" customHeight="1" x14ac:dyDescent="0.25">
      <c r="A98" s="174" t="s">
        <v>497</v>
      </c>
      <c r="B98" s="175"/>
      <c r="C98" s="175"/>
      <c r="D98" s="175"/>
      <c r="E98" s="175"/>
    </row>
    <row r="99" spans="1:7" s="20" customFormat="1" ht="12.75" customHeight="1" x14ac:dyDescent="0.25">
      <c r="A99" s="541" t="s">
        <v>509</v>
      </c>
      <c r="B99" s="539"/>
      <c r="C99" s="539"/>
      <c r="D99" s="539"/>
      <c r="E99" s="540"/>
      <c r="F99" s="14">
        <f>F72</f>
        <v>0</v>
      </c>
    </row>
    <row r="100" spans="1:7" s="20" customFormat="1" ht="20.399999999999999" x14ac:dyDescent="0.25">
      <c r="A100" s="192"/>
      <c r="B100" s="193"/>
      <c r="C100" s="193"/>
      <c r="D100" s="198" t="s">
        <v>352</v>
      </c>
      <c r="E100" s="199" t="s">
        <v>510</v>
      </c>
      <c r="F100" s="302"/>
    </row>
    <row r="101" spans="1:7" s="20" customFormat="1" ht="13.35" customHeight="1" x14ac:dyDescent="0.25">
      <c r="A101" s="564" t="s">
        <v>511</v>
      </c>
      <c r="B101" s="565"/>
      <c r="C101" s="565"/>
      <c r="D101" s="318">
        <f>F81</f>
        <v>0</v>
      </c>
      <c r="E101" s="324">
        <v>2386</v>
      </c>
      <c r="F101" s="14">
        <f>D101*E101</f>
        <v>0</v>
      </c>
    </row>
    <row r="102" spans="1:7" s="20" customFormat="1" ht="13.35" customHeight="1" x14ac:dyDescent="0.25">
      <c r="A102" s="564" t="s">
        <v>512</v>
      </c>
      <c r="B102" s="565"/>
      <c r="C102" s="565"/>
      <c r="D102" s="318">
        <f>F82</f>
        <v>0</v>
      </c>
      <c r="E102" s="324">
        <f>E101</f>
        <v>2386</v>
      </c>
      <c r="F102" s="14">
        <f>D102*E102</f>
        <v>0</v>
      </c>
    </row>
    <row r="103" spans="1:7" ht="13.35" customHeight="1" x14ac:dyDescent="0.25">
      <c r="A103" s="564" t="s">
        <v>513</v>
      </c>
      <c r="B103" s="565"/>
      <c r="C103" s="565"/>
      <c r="D103" s="318">
        <f>F83</f>
        <v>0</v>
      </c>
      <c r="E103" s="324">
        <v>1193</v>
      </c>
      <c r="F103" s="14">
        <f>ROUND(D103*E103,0)</f>
        <v>0</v>
      </c>
      <c r="G103" s="107"/>
    </row>
    <row r="104" spans="1:7" ht="24.75" customHeight="1" x14ac:dyDescent="0.25">
      <c r="A104" s="564" t="s">
        <v>514</v>
      </c>
      <c r="B104" s="565"/>
      <c r="C104" s="565"/>
      <c r="D104" s="318">
        <f>F84</f>
        <v>0</v>
      </c>
      <c r="E104" s="324">
        <v>387</v>
      </c>
      <c r="F104" s="14">
        <f t="shared" ref="F104:F105" si="0">D104*E104</f>
        <v>0</v>
      </c>
    </row>
    <row r="105" spans="1:7" ht="24.75" customHeight="1" x14ac:dyDescent="0.25">
      <c r="A105" s="564" t="s">
        <v>515</v>
      </c>
      <c r="B105" s="565"/>
      <c r="C105" s="565"/>
      <c r="D105" s="318">
        <f>F85</f>
        <v>0</v>
      </c>
      <c r="E105" s="324">
        <v>502</v>
      </c>
      <c r="F105" s="14">
        <f t="shared" si="0"/>
        <v>0</v>
      </c>
    </row>
    <row r="106" spans="1:7" ht="13.35" customHeight="1" x14ac:dyDescent="0.25">
      <c r="A106" s="564" t="s">
        <v>516</v>
      </c>
      <c r="B106" s="560"/>
      <c r="C106" s="560"/>
      <c r="D106" s="560"/>
      <c r="E106" s="560"/>
      <c r="F106" s="25">
        <f>F86</f>
        <v>0</v>
      </c>
    </row>
    <row r="107" spans="1:7" s="3" customFormat="1" ht="12.75" customHeight="1" x14ac:dyDescent="0.25">
      <c r="A107" s="542" t="s">
        <v>517</v>
      </c>
      <c r="B107" s="543"/>
      <c r="C107" s="543"/>
      <c r="D107" s="543"/>
      <c r="E107" s="544"/>
      <c r="F107" s="112">
        <f>SUM(F99:F106)</f>
        <v>0</v>
      </c>
    </row>
    <row r="108" spans="1:7" x14ac:dyDescent="0.25">
      <c r="A108" s="20"/>
      <c r="B108"/>
      <c r="C108"/>
      <c r="D108"/>
      <c r="E108"/>
    </row>
    <row r="109" spans="1:7" s="3" customFormat="1" ht="12.6" customHeight="1" x14ac:dyDescent="0.25">
      <c r="A109" s="559" t="s">
        <v>518</v>
      </c>
      <c r="B109" s="560"/>
      <c r="C109" s="560"/>
      <c r="D109" s="560"/>
      <c r="E109" s="560"/>
      <c r="F109" s="14">
        <f>F88</f>
        <v>0</v>
      </c>
    </row>
    <row r="110" spans="1:7" s="3" customFormat="1" ht="21" customHeight="1" x14ac:dyDescent="0.25">
      <c r="A110" s="192"/>
      <c r="B110" s="193"/>
      <c r="C110" s="193"/>
      <c r="D110" s="198" t="s">
        <v>352</v>
      </c>
      <c r="E110" s="199" t="s">
        <v>441</v>
      </c>
      <c r="F110" s="14"/>
    </row>
    <row r="111" spans="1:7" s="3" customFormat="1" ht="12.6" customHeight="1" x14ac:dyDescent="0.25">
      <c r="A111" s="564" t="s">
        <v>442</v>
      </c>
      <c r="B111" s="565"/>
      <c r="C111" s="565"/>
      <c r="D111" s="318">
        <f>F89</f>
        <v>0</v>
      </c>
      <c r="E111" s="324">
        <v>2358</v>
      </c>
      <c r="F111" s="14">
        <f>D111*E111</f>
        <v>0</v>
      </c>
    </row>
    <row r="112" spans="1:7" ht="13.35" customHeight="1" x14ac:dyDescent="0.25">
      <c r="A112" s="568" t="s">
        <v>521</v>
      </c>
      <c r="B112" s="569"/>
      <c r="C112" s="569"/>
      <c r="D112" s="422">
        <f>F90</f>
        <v>0</v>
      </c>
      <c r="E112" s="324">
        <f>E111</f>
        <v>2358</v>
      </c>
      <c r="F112" s="14">
        <f>D112*E112</f>
        <v>0</v>
      </c>
      <c r="G112" s="452"/>
    </row>
    <row r="113" spans="1:7" s="3" customFormat="1" ht="12.6" customHeight="1" x14ac:dyDescent="0.25">
      <c r="A113" s="564" t="s">
        <v>443</v>
      </c>
      <c r="B113" s="565"/>
      <c r="C113" s="565"/>
      <c r="D113" s="318">
        <f>F91</f>
        <v>0</v>
      </c>
      <c r="E113" s="324">
        <v>1179</v>
      </c>
      <c r="F113" s="14">
        <f>ROUND(D113*E113,0)</f>
        <v>0</v>
      </c>
      <c r="G113" s="107"/>
    </row>
    <row r="114" spans="1:7" s="3" customFormat="1" ht="24.75" customHeight="1" x14ac:dyDescent="0.25">
      <c r="A114" s="564" t="s">
        <v>444</v>
      </c>
      <c r="B114" s="565"/>
      <c r="C114" s="565"/>
      <c r="D114" s="318">
        <f>F92</f>
        <v>0</v>
      </c>
      <c r="E114" s="324">
        <v>382</v>
      </c>
      <c r="F114" s="14">
        <f t="shared" ref="F114:F115" si="1">D114*E114</f>
        <v>0</v>
      </c>
    </row>
    <row r="115" spans="1:7" s="3" customFormat="1" ht="24.75" customHeight="1" x14ac:dyDescent="0.25">
      <c r="A115" s="564" t="s">
        <v>445</v>
      </c>
      <c r="B115" s="565"/>
      <c r="C115" s="565"/>
      <c r="D115" s="318">
        <f>F93</f>
        <v>0</v>
      </c>
      <c r="E115" s="324">
        <v>496</v>
      </c>
      <c r="F115" s="14">
        <f t="shared" si="1"/>
        <v>0</v>
      </c>
    </row>
    <row r="116" spans="1:7" s="3" customFormat="1" ht="12.6" customHeight="1" x14ac:dyDescent="0.25">
      <c r="A116" s="564" t="s">
        <v>446</v>
      </c>
      <c r="B116" s="560"/>
      <c r="C116" s="560"/>
      <c r="D116" s="560"/>
      <c r="E116" s="560"/>
      <c r="F116" s="25">
        <f>F94</f>
        <v>0</v>
      </c>
    </row>
    <row r="117" spans="1:7" s="3" customFormat="1" ht="12.75" customHeight="1" x14ac:dyDescent="0.25">
      <c r="A117" s="542" t="s">
        <v>519</v>
      </c>
      <c r="B117" s="543"/>
      <c r="C117" s="543"/>
      <c r="D117" s="543"/>
      <c r="E117" s="544"/>
      <c r="F117" s="112">
        <f>SUM(F109:F116)</f>
        <v>0</v>
      </c>
    </row>
    <row r="118" spans="1:7" x14ac:dyDescent="0.25">
      <c r="A118" s="20"/>
      <c r="B118"/>
      <c r="C118"/>
      <c r="D118"/>
      <c r="E118"/>
    </row>
    <row r="119" spans="1:7" s="3" customFormat="1" ht="48" customHeight="1" x14ac:dyDescent="0.3">
      <c r="A119" s="561" t="s">
        <v>520</v>
      </c>
      <c r="B119" s="562"/>
      <c r="C119" s="562"/>
      <c r="D119" s="562"/>
      <c r="E119" s="563"/>
      <c r="F119" s="325">
        <f>(F107+F117)/2</f>
        <v>0</v>
      </c>
      <c r="G119" s="107"/>
    </row>
    <row r="120" spans="1:7" x14ac:dyDescent="0.25">
      <c r="A120" s="20"/>
      <c r="B120"/>
      <c r="C120"/>
      <c r="D120"/>
      <c r="E120"/>
    </row>
    <row r="121" spans="1:7" x14ac:dyDescent="0.25">
      <c r="A121" s="18"/>
    </row>
    <row r="122" spans="1:7" ht="15.6" x14ac:dyDescent="0.25">
      <c r="A122" s="6" t="s">
        <v>179</v>
      </c>
    </row>
    <row r="123" spans="1:7" ht="15.6" x14ac:dyDescent="0.3">
      <c r="A123" s="1"/>
    </row>
    <row r="124" spans="1:7" ht="15.6" x14ac:dyDescent="0.3">
      <c r="A124" s="114"/>
      <c r="B124" s="115"/>
      <c r="C124" s="115"/>
      <c r="D124" s="115"/>
      <c r="E124" s="111" t="s">
        <v>304</v>
      </c>
      <c r="F124" s="111" t="s">
        <v>305</v>
      </c>
    </row>
    <row r="125" spans="1:7" ht="36.9" customHeight="1" x14ac:dyDescent="0.25">
      <c r="A125" s="116">
        <v>1</v>
      </c>
      <c r="B125" s="535" t="s">
        <v>353</v>
      </c>
      <c r="C125" s="539"/>
      <c r="D125" s="540"/>
      <c r="E125" s="17"/>
      <c r="F125" s="17"/>
    </row>
    <row r="126" spans="1:7" ht="50.1" customHeight="1" x14ac:dyDescent="0.25">
      <c r="A126" s="116">
        <v>2</v>
      </c>
      <c r="B126" s="535" t="s">
        <v>354</v>
      </c>
      <c r="C126" s="539"/>
      <c r="D126" s="540"/>
      <c r="E126" s="30"/>
      <c r="F126" s="30"/>
    </row>
    <row r="127" spans="1:7" ht="39" customHeight="1" x14ac:dyDescent="0.25">
      <c r="A127" s="465">
        <v>3</v>
      </c>
      <c r="B127" s="531" t="s">
        <v>549</v>
      </c>
      <c r="C127" s="532"/>
      <c r="D127" s="533"/>
      <c r="E127" s="30"/>
      <c r="F127" s="30"/>
    </row>
    <row r="128" spans="1:7" ht="38.25" customHeight="1" x14ac:dyDescent="0.25">
      <c r="A128" s="466">
        <v>4</v>
      </c>
      <c r="B128" s="534" t="s">
        <v>550</v>
      </c>
      <c r="C128" s="534"/>
      <c r="D128" s="534"/>
      <c r="E128" s="17"/>
      <c r="F128" s="17"/>
    </row>
    <row r="129" spans="1:9" ht="41.25" customHeight="1" x14ac:dyDescent="0.25">
      <c r="A129" s="465">
        <v>5</v>
      </c>
      <c r="B129" s="556" t="s">
        <v>558</v>
      </c>
      <c r="C129" s="557"/>
      <c r="D129" s="558"/>
      <c r="E129" s="17"/>
      <c r="F129" s="17"/>
    </row>
    <row r="130" spans="1:9" ht="39" customHeight="1" x14ac:dyDescent="0.25">
      <c r="A130" s="465">
        <v>6</v>
      </c>
      <c r="B130" s="535" t="s">
        <v>355</v>
      </c>
      <c r="C130" s="539"/>
      <c r="D130" s="540"/>
      <c r="E130" s="30"/>
      <c r="F130" s="30"/>
      <c r="G130" s="107"/>
    </row>
    <row r="131" spans="1:9" x14ac:dyDescent="0.25">
      <c r="A131" s="173"/>
      <c r="B131" s="177"/>
      <c r="C131" s="99"/>
      <c r="D131" s="99"/>
      <c r="E131" s="178"/>
      <c r="F131" s="179"/>
    </row>
    <row r="132" spans="1:9" ht="15" x14ac:dyDescent="0.25">
      <c r="A132" s="3" t="s">
        <v>191</v>
      </c>
      <c r="B132" s="7"/>
    </row>
    <row r="133" spans="1:9" x14ac:dyDescent="0.25">
      <c r="A133" s="555"/>
      <c r="B133" s="555"/>
      <c r="C133" s="555"/>
      <c r="D133" s="555"/>
      <c r="E133" s="555"/>
      <c r="F133" s="555"/>
    </row>
    <row r="134" spans="1:9" x14ac:dyDescent="0.25">
      <c r="A134" s="555"/>
      <c r="B134" s="555"/>
      <c r="C134" s="555"/>
      <c r="D134" s="555"/>
      <c r="E134" s="555"/>
      <c r="F134" s="555"/>
    </row>
    <row r="135" spans="1:9" x14ac:dyDescent="0.25">
      <c r="A135" s="555"/>
      <c r="B135" s="555"/>
      <c r="C135" s="555"/>
      <c r="D135" s="555"/>
      <c r="E135" s="555"/>
      <c r="F135" s="555"/>
    </row>
    <row r="136" spans="1:9" x14ac:dyDescent="0.25">
      <c r="A136" s="555"/>
      <c r="B136" s="555"/>
      <c r="C136" s="555"/>
      <c r="D136" s="555"/>
      <c r="E136" s="555"/>
      <c r="F136" s="555"/>
    </row>
    <row r="137" spans="1:9" x14ac:dyDescent="0.25">
      <c r="A137" s="555"/>
      <c r="B137" s="555"/>
      <c r="C137" s="555"/>
      <c r="D137" s="555"/>
      <c r="E137" s="555"/>
      <c r="F137" s="555"/>
    </row>
    <row r="138" spans="1:9" ht="15" x14ac:dyDescent="0.25">
      <c r="A138" s="3" t="s">
        <v>192</v>
      </c>
      <c r="B138" s="7"/>
    </row>
    <row r="139" spans="1:9" ht="15" x14ac:dyDescent="0.25">
      <c r="A139" s="3" t="s">
        <v>193</v>
      </c>
      <c r="B139" s="7"/>
    </row>
    <row r="140" spans="1:9" x14ac:dyDescent="0.25">
      <c r="A140" s="469"/>
      <c r="B140" s="478"/>
      <c r="C140" s="478"/>
      <c r="D140" s="478"/>
      <c r="E140" s="478"/>
      <c r="F140" s="478"/>
      <c r="H140"/>
      <c r="I140"/>
    </row>
    <row r="141" spans="1:9" x14ac:dyDescent="0.25">
      <c r="A141" s="478"/>
      <c r="B141" s="478"/>
      <c r="C141" s="478"/>
      <c r="D141" s="478"/>
      <c r="E141" s="478"/>
      <c r="F141" s="478"/>
      <c r="H141"/>
      <c r="I141"/>
    </row>
    <row r="142" spans="1:9" x14ac:dyDescent="0.25">
      <c r="A142" s="478"/>
      <c r="B142" s="478"/>
      <c r="C142" s="478"/>
      <c r="D142" s="478"/>
      <c r="E142" s="478"/>
      <c r="F142" s="478"/>
      <c r="H142"/>
      <c r="I142"/>
    </row>
    <row r="143" spans="1:9" x14ac:dyDescent="0.25">
      <c r="A143" s="478"/>
      <c r="B143" s="478"/>
      <c r="C143" s="478"/>
      <c r="D143" s="478"/>
      <c r="E143" s="478"/>
      <c r="F143" s="478"/>
      <c r="H143"/>
      <c r="I143"/>
    </row>
    <row r="144" spans="1:9" ht="15" x14ac:dyDescent="0.25">
      <c r="A144" s="3" t="s">
        <v>356</v>
      </c>
      <c r="B144" s="7"/>
    </row>
    <row r="145" spans="1:9" ht="15" x14ac:dyDescent="0.25">
      <c r="A145" s="3" t="s">
        <v>357</v>
      </c>
      <c r="B145" s="7"/>
    </row>
    <row r="146" spans="1:9" x14ac:dyDescent="0.25">
      <c r="A146" s="469"/>
      <c r="B146" s="478"/>
      <c r="C146" s="478"/>
      <c r="D146" s="478"/>
      <c r="E146" s="478"/>
      <c r="F146" s="478"/>
      <c r="H146" s="99"/>
      <c r="I146"/>
    </row>
    <row r="147" spans="1:9" x14ac:dyDescent="0.25">
      <c r="A147" s="478"/>
      <c r="B147" s="478"/>
      <c r="C147" s="478"/>
      <c r="D147" s="478"/>
      <c r="E147" s="478"/>
      <c r="F147" s="478"/>
      <c r="H147" s="99"/>
      <c r="I147"/>
    </row>
    <row r="148" spans="1:9" x14ac:dyDescent="0.25">
      <c r="A148" s="478"/>
      <c r="B148" s="478"/>
      <c r="C148" s="478"/>
      <c r="D148" s="478"/>
      <c r="E148" s="478"/>
      <c r="F148" s="478"/>
      <c r="H148" s="99"/>
      <c r="I148"/>
    </row>
    <row r="149" spans="1:9" x14ac:dyDescent="0.25">
      <c r="A149" s="478"/>
      <c r="B149" s="478"/>
      <c r="C149" s="478"/>
      <c r="D149" s="478"/>
      <c r="E149" s="478"/>
      <c r="F149" s="478"/>
      <c r="H149" s="99"/>
      <c r="I149"/>
    </row>
  </sheetData>
  <sheetProtection algorithmName="SHA-512" hashValue="sFCajRJX7YB4qSaZu403jP5etiBr/dUl3hEVEXKVQtRXfBUF22gSU5fNBwpMO8sYJ3ynj5W62/aCFpn/BtMAxA==" saltValue="6uby7UreXn4Bcak2BiGCIw==" spinCount="100000" sheet="1" objects="1" scenarios="1"/>
  <mergeCells count="95">
    <mergeCell ref="A115:C115"/>
    <mergeCell ref="A62:E62"/>
    <mergeCell ref="A92:E92"/>
    <mergeCell ref="A93:E93"/>
    <mergeCell ref="A94:E94"/>
    <mergeCell ref="A91:E91"/>
    <mergeCell ref="A89:E89"/>
    <mergeCell ref="A70:E70"/>
    <mergeCell ref="A71:E71"/>
    <mergeCell ref="A72:E72"/>
    <mergeCell ref="A102:C102"/>
    <mergeCell ref="A82:E82"/>
    <mergeCell ref="A90:E90"/>
    <mergeCell ref="A65:E65"/>
    <mergeCell ref="A111:C111"/>
    <mergeCell ref="A113:C113"/>
    <mergeCell ref="A114:C114"/>
    <mergeCell ref="H81:L81"/>
    <mergeCell ref="A84:E84"/>
    <mergeCell ref="A85:E85"/>
    <mergeCell ref="A86:E86"/>
    <mergeCell ref="A81:E81"/>
    <mergeCell ref="A112:C112"/>
    <mergeCell ref="B129:D129"/>
    <mergeCell ref="A83:E83"/>
    <mergeCell ref="A99:E99"/>
    <mergeCell ref="A107:E107"/>
    <mergeCell ref="A109:E109"/>
    <mergeCell ref="A117:E117"/>
    <mergeCell ref="A119:E119"/>
    <mergeCell ref="B125:D125"/>
    <mergeCell ref="B126:D126"/>
    <mergeCell ref="A106:E106"/>
    <mergeCell ref="A101:C101"/>
    <mergeCell ref="A103:C103"/>
    <mergeCell ref="A104:C104"/>
    <mergeCell ref="A105:C105"/>
    <mergeCell ref="A116:E116"/>
    <mergeCell ref="A88:E88"/>
    <mergeCell ref="A146:F149"/>
    <mergeCell ref="B130:D130"/>
    <mergeCell ref="A133:F133"/>
    <mergeCell ref="A134:F134"/>
    <mergeCell ref="A135:F135"/>
    <mergeCell ref="A136:F136"/>
    <mergeCell ref="A137:F137"/>
    <mergeCell ref="A140:F143"/>
    <mergeCell ref="A5:F5"/>
    <mergeCell ref="A6:F6"/>
    <mergeCell ref="E7:F7"/>
    <mergeCell ref="E8:F8"/>
    <mergeCell ref="A10:F10"/>
    <mergeCell ref="A11:F11"/>
    <mergeCell ref="A21:E21"/>
    <mergeCell ref="A22:E22"/>
    <mergeCell ref="A23:E23"/>
    <mergeCell ref="A26:E26"/>
    <mergeCell ref="A16:E16"/>
    <mergeCell ref="A17:E17"/>
    <mergeCell ref="A18:E18"/>
    <mergeCell ref="A15:E15"/>
    <mergeCell ref="A24:E24"/>
    <mergeCell ref="A25:E25"/>
    <mergeCell ref="A27:E27"/>
    <mergeCell ref="A45:E45"/>
    <mergeCell ref="A49:E49"/>
    <mergeCell ref="A50:E50"/>
    <mergeCell ref="A28:E28"/>
    <mergeCell ref="A41:E41"/>
    <mergeCell ref="A42:E42"/>
    <mergeCell ref="A43:E43"/>
    <mergeCell ref="A44:E44"/>
    <mergeCell ref="A38:E38"/>
    <mergeCell ref="A39:E39"/>
    <mergeCell ref="A46:E46"/>
    <mergeCell ref="A32:E32"/>
    <mergeCell ref="A33:E33"/>
    <mergeCell ref="A34:E34"/>
    <mergeCell ref="A35:E35"/>
    <mergeCell ref="B127:D127"/>
    <mergeCell ref="B128:D128"/>
    <mergeCell ref="A40:E40"/>
    <mergeCell ref="A66:E66"/>
    <mergeCell ref="A52:E52"/>
    <mergeCell ref="A51:E51"/>
    <mergeCell ref="A67:E67"/>
    <mergeCell ref="A68:E68"/>
    <mergeCell ref="A69:E69"/>
    <mergeCell ref="A53:E53"/>
    <mergeCell ref="A54:E54"/>
    <mergeCell ref="A55:E55"/>
    <mergeCell ref="A59:E59"/>
    <mergeCell ref="A60:E60"/>
    <mergeCell ref="A56:E56"/>
    <mergeCell ref="A61:E61"/>
  </mergeCells>
  <dataValidations count="1">
    <dataValidation type="whole" allowBlank="1" showInputMessage="1" showErrorMessage="1" prompt="Nur ganze Zahlen eingeben" sqref="F21:F22 F38:F40 F49:F53 F59 F32" xr:uid="{00000000-0002-0000-0B00-000000000000}">
      <formula1>1</formula1>
      <formula2>1000000000</formula2>
    </dataValidation>
  </dataValidations>
  <pageMargins left="0.78740157480314965" right="0.39370078740157483" top="0.51181102362204722" bottom="0.51181102362204722" header="0.11811023622047245" footer="0.11811023622047245"/>
  <pageSetup paperSize="9" scale="74" orientation="portrait" r:id="rId1"/>
  <headerFooter alignWithMargins="0">
    <oddHeader>&amp;LFormulaire de révision (décompte et contrôle) &amp;R &amp;P / &amp;N</oddHeader>
    <oddFooter>&amp;L&amp;A&amp;R&amp;D</oddFooter>
  </headerFooter>
  <rowBreaks count="2" manualBreakCount="2">
    <brk id="63" max="5" man="1"/>
    <brk id="12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S86"/>
  <sheetViews>
    <sheetView zoomScaleNormal="100" zoomScaleSheetLayoutView="100" workbookViewId="0">
      <selection activeCell="B7" sqref="B7:D7"/>
    </sheetView>
  </sheetViews>
  <sheetFormatPr baseColWidth="10" defaultColWidth="11.5546875" defaultRowHeight="13.2" x14ac:dyDescent="0.25"/>
  <cols>
    <col min="1" max="1" width="31.5546875" style="421" customWidth="1"/>
    <col min="2" max="2" width="17.6640625" style="421" customWidth="1"/>
    <col min="3" max="3" width="18.109375" style="431" customWidth="1"/>
    <col min="4" max="4" width="17.6640625" style="431" customWidth="1"/>
    <col min="5" max="5" width="11.5546875" style="421" customWidth="1"/>
    <col min="6" max="7" width="11.5546875" style="421"/>
    <col min="8" max="8" width="11.5546875" style="421" customWidth="1"/>
    <col min="9" max="16384" width="11.5546875" style="421"/>
  </cols>
  <sheetData>
    <row r="1" spans="1:19" s="428" customFormat="1" ht="15.6" x14ac:dyDescent="0.25">
      <c r="A1" s="425" t="s">
        <v>336</v>
      </c>
      <c r="B1" s="426"/>
      <c r="C1" s="427"/>
      <c r="D1" s="427"/>
      <c r="E1" s="426"/>
      <c r="G1" s="347"/>
      <c r="H1" s="347" t="s">
        <v>528</v>
      </c>
    </row>
    <row r="2" spans="1:19" s="428" customFormat="1" x14ac:dyDescent="0.25">
      <c r="A2" s="574" t="s">
        <v>561</v>
      </c>
      <c r="B2" s="574"/>
      <c r="C2" s="574"/>
      <c r="D2" s="574"/>
      <c r="E2" s="574"/>
      <c r="F2" s="574"/>
      <c r="G2" s="574"/>
      <c r="H2" s="574"/>
    </row>
    <row r="3" spans="1:19" s="428" customFormat="1" x14ac:dyDescent="0.25">
      <c r="A3" s="574"/>
      <c r="B3" s="574"/>
      <c r="C3" s="574"/>
      <c r="D3" s="574"/>
      <c r="E3" s="574"/>
      <c r="F3" s="574"/>
      <c r="G3" s="574"/>
      <c r="H3" s="574"/>
    </row>
    <row r="4" spans="1:19" s="428" customFormat="1" x14ac:dyDescent="0.25">
      <c r="A4" s="574"/>
      <c r="B4" s="574"/>
      <c r="C4" s="574"/>
      <c r="D4" s="574"/>
      <c r="E4" s="574"/>
      <c r="F4" s="574"/>
      <c r="G4" s="574"/>
      <c r="H4" s="574"/>
    </row>
    <row r="5" spans="1:19" s="428" customFormat="1" x14ac:dyDescent="0.25">
      <c r="A5" s="444" t="s">
        <v>529</v>
      </c>
      <c r="B5" s="575">
        <v>2024</v>
      </c>
      <c r="C5" s="575"/>
      <c r="D5" s="575"/>
      <c r="F5" s="351"/>
    </row>
    <row r="6" spans="1:19" s="428" customFormat="1" x14ac:dyDescent="0.25">
      <c r="A6" s="444" t="s">
        <v>140</v>
      </c>
      <c r="B6" s="576">
        <f>'[1]1 Gesamtübersicht'!E10</f>
        <v>0</v>
      </c>
      <c r="C6" s="576"/>
      <c r="D6" s="576"/>
      <c r="F6" s="351"/>
    </row>
    <row r="7" spans="1:19" s="428" customFormat="1" x14ac:dyDescent="0.25">
      <c r="A7" s="444" t="s">
        <v>141</v>
      </c>
      <c r="B7" s="577"/>
      <c r="C7" s="577"/>
      <c r="D7" s="577"/>
      <c r="F7" s="351"/>
    </row>
    <row r="8" spans="1:19" s="428" customFormat="1" x14ac:dyDescent="0.25">
      <c r="A8" s="421"/>
      <c r="B8" s="421"/>
      <c r="C8" s="431"/>
      <c r="D8" s="431"/>
      <c r="E8" s="430"/>
      <c r="F8" s="421"/>
      <c r="G8" s="421"/>
      <c r="H8" s="421"/>
      <c r="I8" s="421"/>
      <c r="J8" s="421"/>
      <c r="K8" s="421"/>
      <c r="L8" s="421"/>
      <c r="M8" s="421"/>
      <c r="N8" s="421"/>
      <c r="O8" s="421"/>
      <c r="P8" s="421"/>
      <c r="Q8" s="421"/>
      <c r="R8" s="421"/>
      <c r="S8" s="421"/>
    </row>
    <row r="9" spans="1:19" s="428" customFormat="1" x14ac:dyDescent="0.25">
      <c r="A9" s="421"/>
      <c r="B9" s="421"/>
      <c r="C9" s="431"/>
      <c r="D9" s="431"/>
      <c r="E9" s="430"/>
      <c r="F9" s="421"/>
      <c r="G9" s="421"/>
      <c r="H9" s="421"/>
      <c r="I9" s="421"/>
      <c r="J9" s="421"/>
      <c r="K9" s="421"/>
      <c r="L9" s="421"/>
      <c r="M9" s="421"/>
      <c r="N9" s="421"/>
      <c r="O9" s="421"/>
      <c r="P9" s="421"/>
      <c r="Q9" s="421"/>
      <c r="R9" s="421"/>
      <c r="S9" s="421"/>
    </row>
    <row r="10" spans="1:19" ht="32.25" customHeight="1" x14ac:dyDescent="0.25">
      <c r="B10" s="578" t="s">
        <v>534</v>
      </c>
      <c r="C10" s="578"/>
      <c r="D10" s="578"/>
      <c r="E10" s="432"/>
    </row>
    <row r="11" spans="1:19" s="436" customFormat="1" ht="39.6" x14ac:dyDescent="0.25">
      <c r="A11" s="433" t="s">
        <v>530</v>
      </c>
      <c r="B11" s="434" t="s">
        <v>531</v>
      </c>
      <c r="C11" s="454" t="s">
        <v>544</v>
      </c>
      <c r="D11" s="434" t="s">
        <v>532</v>
      </c>
      <c r="E11" s="435"/>
    </row>
    <row r="12" spans="1:19" x14ac:dyDescent="0.25">
      <c r="A12" s="437"/>
      <c r="B12" s="437"/>
      <c r="C12" s="438"/>
      <c r="D12" s="438"/>
      <c r="E12" s="439"/>
    </row>
    <row r="13" spans="1:19" s="456" customFormat="1" x14ac:dyDescent="0.25">
      <c r="A13" s="437"/>
      <c r="B13" s="437"/>
      <c r="C13" s="438"/>
      <c r="D13" s="438"/>
      <c r="E13" s="439"/>
    </row>
    <row r="14" spans="1:19" s="456" customFormat="1" x14ac:dyDescent="0.25">
      <c r="A14" s="437"/>
      <c r="B14" s="437"/>
      <c r="C14" s="438"/>
      <c r="D14" s="438"/>
      <c r="E14" s="439"/>
    </row>
    <row r="15" spans="1:19" s="456" customFormat="1" x14ac:dyDescent="0.25">
      <c r="A15" s="437"/>
      <c r="B15" s="437"/>
      <c r="C15" s="438"/>
      <c r="D15" s="438"/>
      <c r="E15" s="439"/>
    </row>
    <row r="16" spans="1:19" s="456" customFormat="1" x14ac:dyDescent="0.25">
      <c r="A16" s="437"/>
      <c r="B16" s="437"/>
      <c r="C16" s="438"/>
      <c r="D16" s="438"/>
      <c r="E16" s="439"/>
    </row>
    <row r="17" spans="1:5" s="456" customFormat="1" x14ac:dyDescent="0.25">
      <c r="A17" s="437"/>
      <c r="B17" s="437"/>
      <c r="C17" s="438"/>
      <c r="D17" s="438"/>
      <c r="E17" s="439"/>
    </row>
    <row r="18" spans="1:5" s="456" customFormat="1" x14ac:dyDescent="0.25">
      <c r="A18" s="437"/>
      <c r="B18" s="437"/>
      <c r="C18" s="438"/>
      <c r="D18" s="438"/>
      <c r="E18" s="439"/>
    </row>
    <row r="19" spans="1:5" s="456" customFormat="1" x14ac:dyDescent="0.25">
      <c r="A19" s="437"/>
      <c r="B19" s="437"/>
      <c r="C19" s="438"/>
      <c r="D19" s="438"/>
      <c r="E19" s="439"/>
    </row>
    <row r="20" spans="1:5" s="456" customFormat="1" x14ac:dyDescent="0.25">
      <c r="A20" s="437"/>
      <c r="B20" s="437"/>
      <c r="C20" s="438"/>
      <c r="D20" s="438"/>
      <c r="E20" s="439"/>
    </row>
    <row r="21" spans="1:5" s="456" customFormat="1" x14ac:dyDescent="0.25">
      <c r="A21" s="437"/>
      <c r="B21" s="437"/>
      <c r="C21" s="438"/>
      <c r="D21" s="438"/>
      <c r="E21" s="439"/>
    </row>
    <row r="22" spans="1:5" s="456" customFormat="1" x14ac:dyDescent="0.25">
      <c r="A22" s="437"/>
      <c r="B22" s="437"/>
      <c r="C22" s="438"/>
      <c r="D22" s="438"/>
      <c r="E22" s="439"/>
    </row>
    <row r="23" spans="1:5" s="456" customFormat="1" x14ac:dyDescent="0.25">
      <c r="A23" s="437"/>
      <c r="B23" s="437"/>
      <c r="C23" s="438"/>
      <c r="D23" s="438"/>
      <c r="E23" s="439"/>
    </row>
    <row r="24" spans="1:5" s="456" customFormat="1" x14ac:dyDescent="0.25">
      <c r="A24" s="437"/>
      <c r="B24" s="437"/>
      <c r="C24" s="438"/>
      <c r="D24" s="438"/>
      <c r="E24" s="439"/>
    </row>
    <row r="25" spans="1:5" s="456" customFormat="1" x14ac:dyDescent="0.25">
      <c r="A25" s="437"/>
      <c r="B25" s="437"/>
      <c r="C25" s="438"/>
      <c r="D25" s="438"/>
      <c r="E25" s="439"/>
    </row>
    <row r="26" spans="1:5" s="456" customFormat="1" x14ac:dyDescent="0.25">
      <c r="A26" s="437"/>
      <c r="B26" s="437"/>
      <c r="C26" s="438"/>
      <c r="D26" s="438"/>
      <c r="E26" s="439"/>
    </row>
    <row r="27" spans="1:5" s="456" customFormat="1" x14ac:dyDescent="0.25">
      <c r="A27" s="437"/>
      <c r="B27" s="437"/>
      <c r="C27" s="438"/>
      <c r="D27" s="438"/>
      <c r="E27" s="439"/>
    </row>
    <row r="28" spans="1:5" s="456" customFormat="1" x14ac:dyDescent="0.25">
      <c r="A28" s="437"/>
      <c r="B28" s="437"/>
      <c r="C28" s="438"/>
      <c r="D28" s="438"/>
      <c r="E28" s="439"/>
    </row>
    <row r="29" spans="1:5" s="456" customFormat="1" x14ac:dyDescent="0.25">
      <c r="A29" s="437"/>
      <c r="B29" s="437"/>
      <c r="C29" s="438"/>
      <c r="D29" s="438"/>
      <c r="E29" s="439"/>
    </row>
    <row r="30" spans="1:5" s="456" customFormat="1" x14ac:dyDescent="0.25">
      <c r="A30" s="437"/>
      <c r="B30" s="437"/>
      <c r="C30" s="438"/>
      <c r="D30" s="438"/>
      <c r="E30" s="439"/>
    </row>
    <row r="31" spans="1:5" s="456" customFormat="1" x14ac:dyDescent="0.25">
      <c r="A31" s="437"/>
      <c r="B31" s="437"/>
      <c r="C31" s="438"/>
      <c r="D31" s="438"/>
      <c r="E31" s="439"/>
    </row>
    <row r="32" spans="1:5" s="456" customFormat="1" x14ac:dyDescent="0.25">
      <c r="A32" s="437"/>
      <c r="B32" s="437"/>
      <c r="C32" s="438"/>
      <c r="D32" s="438"/>
      <c r="E32" s="439"/>
    </row>
    <row r="33" spans="1:5" s="456" customFormat="1" x14ac:dyDescent="0.25">
      <c r="A33" s="437"/>
      <c r="B33" s="437"/>
      <c r="C33" s="438"/>
      <c r="D33" s="438"/>
      <c r="E33" s="439"/>
    </row>
    <row r="34" spans="1:5" s="456" customFormat="1" x14ac:dyDescent="0.25">
      <c r="A34" s="437"/>
      <c r="B34" s="437"/>
      <c r="C34" s="438"/>
      <c r="D34" s="438"/>
      <c r="E34" s="439"/>
    </row>
    <row r="35" spans="1:5" s="456" customFormat="1" x14ac:dyDescent="0.25">
      <c r="A35" s="437"/>
      <c r="B35" s="437"/>
      <c r="C35" s="438"/>
      <c r="D35" s="438"/>
      <c r="E35" s="439"/>
    </row>
    <row r="36" spans="1:5" s="456" customFormat="1" x14ac:dyDescent="0.25">
      <c r="A36" s="437"/>
      <c r="B36" s="437"/>
      <c r="C36" s="438"/>
      <c r="D36" s="438"/>
      <c r="E36" s="439"/>
    </row>
    <row r="37" spans="1:5" s="456" customFormat="1" x14ac:dyDescent="0.25">
      <c r="A37" s="437"/>
      <c r="B37" s="437"/>
      <c r="C37" s="438"/>
      <c r="D37" s="438"/>
      <c r="E37" s="439"/>
    </row>
    <row r="38" spans="1:5" s="456" customFormat="1" x14ac:dyDescent="0.25">
      <c r="A38" s="437"/>
      <c r="B38" s="437"/>
      <c r="C38" s="438"/>
      <c r="D38" s="438"/>
      <c r="E38" s="439"/>
    </row>
    <row r="39" spans="1:5" s="456" customFormat="1" x14ac:dyDescent="0.25">
      <c r="A39" s="437"/>
      <c r="B39" s="437"/>
      <c r="C39" s="438"/>
      <c r="D39" s="438"/>
      <c r="E39" s="439"/>
    </row>
    <row r="40" spans="1:5" s="456" customFormat="1" x14ac:dyDescent="0.25">
      <c r="A40" s="437"/>
      <c r="B40" s="437"/>
      <c r="C40" s="438"/>
      <c r="D40" s="438"/>
      <c r="E40" s="439"/>
    </row>
    <row r="41" spans="1:5" s="456" customFormat="1" x14ac:dyDescent="0.25">
      <c r="A41" s="437"/>
      <c r="B41" s="437"/>
      <c r="C41" s="438"/>
      <c r="D41" s="438"/>
      <c r="E41" s="439"/>
    </row>
    <row r="42" spans="1:5" s="456" customFormat="1" x14ac:dyDescent="0.25">
      <c r="A42" s="437"/>
      <c r="B42" s="437"/>
      <c r="C42" s="438"/>
      <c r="D42" s="438"/>
      <c r="E42" s="439"/>
    </row>
    <row r="43" spans="1:5" s="456" customFormat="1" x14ac:dyDescent="0.25">
      <c r="A43" s="437"/>
      <c r="B43" s="437"/>
      <c r="C43" s="438"/>
      <c r="D43" s="438"/>
      <c r="E43" s="439"/>
    </row>
    <row r="44" spans="1:5" s="456" customFormat="1" x14ac:dyDescent="0.25">
      <c r="A44" s="437"/>
      <c r="B44" s="437"/>
      <c r="C44" s="438"/>
      <c r="D44" s="438"/>
      <c r="E44" s="439"/>
    </row>
    <row r="45" spans="1:5" s="456" customFormat="1" x14ac:dyDescent="0.25">
      <c r="A45" s="437"/>
      <c r="B45" s="437"/>
      <c r="C45" s="438"/>
      <c r="D45" s="438"/>
      <c r="E45" s="439"/>
    </row>
    <row r="46" spans="1:5" s="456" customFormat="1" x14ac:dyDescent="0.25">
      <c r="A46" s="437"/>
      <c r="B46" s="437"/>
      <c r="C46" s="438"/>
      <c r="D46" s="438"/>
      <c r="E46" s="439"/>
    </row>
    <row r="47" spans="1:5" s="456" customFormat="1" x14ac:dyDescent="0.25">
      <c r="A47" s="437"/>
      <c r="B47" s="437"/>
      <c r="C47" s="438"/>
      <c r="D47" s="438"/>
      <c r="E47" s="439"/>
    </row>
    <row r="48" spans="1:5" s="456" customFormat="1" x14ac:dyDescent="0.25">
      <c r="A48" s="437"/>
      <c r="B48" s="437"/>
      <c r="C48" s="438"/>
      <c r="D48" s="438"/>
      <c r="E48" s="439"/>
    </row>
    <row r="49" spans="1:5" s="456" customFormat="1" x14ac:dyDescent="0.25">
      <c r="A49" s="437"/>
      <c r="B49" s="437"/>
      <c r="C49" s="438"/>
      <c r="D49" s="438"/>
      <c r="E49" s="439"/>
    </row>
    <row r="50" spans="1:5" s="456" customFormat="1" x14ac:dyDescent="0.25">
      <c r="A50" s="437"/>
      <c r="B50" s="437"/>
      <c r="C50" s="438"/>
      <c r="D50" s="438"/>
      <c r="E50" s="439"/>
    </row>
    <row r="51" spans="1:5" s="456" customFormat="1" x14ac:dyDescent="0.25">
      <c r="A51" s="437"/>
      <c r="B51" s="437"/>
      <c r="C51" s="438"/>
      <c r="D51" s="438"/>
      <c r="E51" s="439"/>
    </row>
    <row r="52" spans="1:5" s="456" customFormat="1" x14ac:dyDescent="0.25">
      <c r="A52" s="437"/>
      <c r="B52" s="437"/>
      <c r="C52" s="438"/>
      <c r="D52" s="438"/>
      <c r="E52" s="439"/>
    </row>
    <row r="53" spans="1:5" s="456" customFormat="1" x14ac:dyDescent="0.25">
      <c r="A53" s="437"/>
      <c r="B53" s="437"/>
      <c r="C53" s="438"/>
      <c r="D53" s="438"/>
      <c r="E53" s="439"/>
    </row>
    <row r="54" spans="1:5" s="456" customFormat="1" x14ac:dyDescent="0.25">
      <c r="A54" s="437"/>
      <c r="B54" s="437"/>
      <c r="C54" s="438"/>
      <c r="D54" s="438"/>
      <c r="E54" s="439"/>
    </row>
    <row r="55" spans="1:5" s="456" customFormat="1" x14ac:dyDescent="0.25">
      <c r="A55" s="437"/>
      <c r="B55" s="437"/>
      <c r="C55" s="438"/>
      <c r="D55" s="438"/>
      <c r="E55" s="439"/>
    </row>
    <row r="56" spans="1:5" s="456" customFormat="1" x14ac:dyDescent="0.25">
      <c r="A56" s="437"/>
      <c r="B56" s="437"/>
      <c r="C56" s="438"/>
      <c r="D56" s="438"/>
      <c r="E56" s="439"/>
    </row>
    <row r="57" spans="1:5" s="456" customFormat="1" x14ac:dyDescent="0.25">
      <c r="A57" s="437"/>
      <c r="B57" s="437"/>
      <c r="C57" s="438"/>
      <c r="D57" s="438"/>
      <c r="E57" s="439"/>
    </row>
    <row r="58" spans="1:5" s="456" customFormat="1" x14ac:dyDescent="0.25">
      <c r="A58" s="437"/>
      <c r="B58" s="437"/>
      <c r="C58" s="438"/>
      <c r="D58" s="438"/>
      <c r="E58" s="439"/>
    </row>
    <row r="59" spans="1:5" s="456" customFormat="1" x14ac:dyDescent="0.25">
      <c r="A59" s="437"/>
      <c r="B59" s="437"/>
      <c r="C59" s="438"/>
      <c r="D59" s="438"/>
      <c r="E59" s="439"/>
    </row>
    <row r="60" spans="1:5" s="456" customFormat="1" x14ac:dyDescent="0.25">
      <c r="A60" s="437"/>
      <c r="B60" s="437"/>
      <c r="C60" s="438"/>
      <c r="D60" s="438"/>
      <c r="E60" s="439"/>
    </row>
    <row r="61" spans="1:5" s="456" customFormat="1" x14ac:dyDescent="0.25">
      <c r="A61" s="437"/>
      <c r="B61" s="437"/>
      <c r="C61" s="438"/>
      <c r="D61" s="438"/>
      <c r="E61" s="439"/>
    </row>
    <row r="62" spans="1:5" x14ac:dyDescent="0.25">
      <c r="A62" s="437"/>
      <c r="B62" s="437"/>
      <c r="C62" s="438"/>
      <c r="D62" s="438"/>
      <c r="E62" s="439"/>
    </row>
    <row r="63" spans="1:5" x14ac:dyDescent="0.25">
      <c r="A63" s="437"/>
      <c r="B63" s="437"/>
      <c r="C63" s="438"/>
      <c r="D63" s="438"/>
      <c r="E63" s="439"/>
    </row>
    <row r="64" spans="1:5" x14ac:dyDescent="0.25">
      <c r="A64" s="437"/>
      <c r="B64" s="437"/>
      <c r="C64" s="438"/>
      <c r="D64" s="438"/>
      <c r="E64" s="439"/>
    </row>
    <row r="65" spans="1:5" x14ac:dyDescent="0.25">
      <c r="A65" s="437"/>
      <c r="B65" s="437"/>
      <c r="C65" s="438"/>
      <c r="D65" s="438"/>
      <c r="E65" s="439"/>
    </row>
    <row r="66" spans="1:5" x14ac:dyDescent="0.25">
      <c r="A66" s="437"/>
      <c r="B66" s="437"/>
      <c r="C66" s="438"/>
      <c r="D66" s="438"/>
      <c r="E66" s="439"/>
    </row>
    <row r="67" spans="1:5" x14ac:dyDescent="0.25">
      <c r="A67" s="437"/>
      <c r="B67" s="437"/>
      <c r="C67" s="438"/>
      <c r="D67" s="438"/>
      <c r="E67" s="439"/>
    </row>
    <row r="68" spans="1:5" x14ac:dyDescent="0.25">
      <c r="A68" s="437"/>
      <c r="B68" s="437"/>
      <c r="C68" s="438"/>
      <c r="D68" s="438"/>
      <c r="E68" s="439"/>
    </row>
    <row r="69" spans="1:5" x14ac:dyDescent="0.25">
      <c r="A69" s="437"/>
      <c r="B69" s="437"/>
      <c r="C69" s="438"/>
      <c r="D69" s="438"/>
      <c r="E69" s="439"/>
    </row>
    <row r="70" spans="1:5" s="456" customFormat="1" x14ac:dyDescent="0.25">
      <c r="A70" s="437"/>
      <c r="B70" s="437"/>
      <c r="C70" s="438"/>
      <c r="D70" s="438"/>
      <c r="E70" s="439"/>
    </row>
    <row r="71" spans="1:5" s="456" customFormat="1" x14ac:dyDescent="0.25">
      <c r="A71" s="437"/>
      <c r="B71" s="437"/>
      <c r="C71" s="438"/>
      <c r="D71" s="438"/>
      <c r="E71" s="439"/>
    </row>
    <row r="72" spans="1:5" s="456" customFormat="1" x14ac:dyDescent="0.25">
      <c r="A72" s="437"/>
      <c r="B72" s="437"/>
      <c r="C72" s="438"/>
      <c r="D72" s="438"/>
      <c r="E72" s="439"/>
    </row>
    <row r="73" spans="1:5" s="456" customFormat="1" x14ac:dyDescent="0.25">
      <c r="A73" s="437"/>
      <c r="B73" s="437"/>
      <c r="C73" s="438"/>
      <c r="D73" s="438"/>
      <c r="E73" s="439"/>
    </row>
    <row r="74" spans="1:5" s="456" customFormat="1" x14ac:dyDescent="0.25">
      <c r="A74" s="437"/>
      <c r="B74" s="437"/>
      <c r="C74" s="438"/>
      <c r="D74" s="438"/>
      <c r="E74" s="439"/>
    </row>
    <row r="75" spans="1:5" s="456" customFormat="1" x14ac:dyDescent="0.25">
      <c r="A75" s="437"/>
      <c r="B75" s="437"/>
      <c r="C75" s="438"/>
      <c r="D75" s="438"/>
      <c r="E75" s="439"/>
    </row>
    <row r="76" spans="1:5" s="456" customFormat="1" x14ac:dyDescent="0.25">
      <c r="A76" s="437"/>
      <c r="B76" s="437"/>
      <c r="C76" s="438"/>
      <c r="D76" s="438"/>
      <c r="E76" s="439"/>
    </row>
    <row r="77" spans="1:5" x14ac:dyDescent="0.25">
      <c r="A77" s="437"/>
      <c r="B77" s="437"/>
      <c r="C77" s="438"/>
      <c r="D77" s="438"/>
      <c r="E77" s="439"/>
    </row>
    <row r="78" spans="1:5" x14ac:dyDescent="0.25">
      <c r="A78" s="437"/>
      <c r="B78" s="437"/>
      <c r="C78" s="438"/>
      <c r="D78" s="438"/>
      <c r="E78" s="439"/>
    </row>
    <row r="79" spans="1:5" x14ac:dyDescent="0.25">
      <c r="A79" s="437"/>
      <c r="B79" s="437"/>
      <c r="C79" s="438"/>
      <c r="D79" s="438"/>
      <c r="E79" s="439"/>
    </row>
    <row r="80" spans="1:5" x14ac:dyDescent="0.25">
      <c r="A80" s="437"/>
      <c r="B80" s="437"/>
      <c r="C80" s="438"/>
      <c r="D80" s="438"/>
      <c r="E80" s="439"/>
    </row>
    <row r="81" spans="1:8" x14ac:dyDescent="0.25">
      <c r="A81" s="437"/>
      <c r="B81" s="437"/>
      <c r="C81" s="438"/>
      <c r="D81" s="438"/>
      <c r="E81" s="439"/>
    </row>
    <row r="82" spans="1:8" x14ac:dyDescent="0.25">
      <c r="A82" s="437"/>
      <c r="B82" s="437"/>
      <c r="C82" s="438"/>
      <c r="D82" s="438"/>
      <c r="E82" s="439"/>
    </row>
    <row r="83" spans="1:8" x14ac:dyDescent="0.25">
      <c r="A83" s="437"/>
      <c r="B83" s="437"/>
      <c r="C83" s="438"/>
      <c r="D83" s="438"/>
      <c r="E83" s="439"/>
    </row>
    <row r="84" spans="1:8" x14ac:dyDescent="0.25">
      <c r="A84" s="437"/>
      <c r="B84" s="437"/>
      <c r="C84" s="438"/>
      <c r="D84" s="438"/>
      <c r="E84" s="439"/>
    </row>
    <row r="85" spans="1:8" x14ac:dyDescent="0.25">
      <c r="A85" s="437"/>
      <c r="B85" s="437"/>
      <c r="C85" s="438"/>
      <c r="D85" s="438"/>
      <c r="E85" s="439"/>
    </row>
    <row r="86" spans="1:8" s="428" customFormat="1" ht="36" customHeight="1" x14ac:dyDescent="0.25">
      <c r="A86" s="440" t="s">
        <v>1</v>
      </c>
      <c r="B86" s="441">
        <f>SUM(B12:B85)</f>
        <v>0</v>
      </c>
      <c r="C86" s="441">
        <f t="shared" ref="C86:D86" si="0">SUM(C12:C85)</f>
        <v>0</v>
      </c>
      <c r="D86" s="441">
        <f t="shared" si="0"/>
        <v>0</v>
      </c>
      <c r="E86" s="442"/>
      <c r="F86" s="443"/>
      <c r="G86" s="443"/>
      <c r="H86" s="443"/>
    </row>
  </sheetData>
  <mergeCells count="5">
    <mergeCell ref="A2:H4"/>
    <mergeCell ref="B5:D5"/>
    <mergeCell ref="B6:D6"/>
    <mergeCell ref="B7:D7"/>
    <mergeCell ref="B10:D10"/>
  </mergeCells>
  <pageMargins left="0.70866141732283472" right="0.70866141732283472" top="0.78740157480314965" bottom="0.78740157480314965" header="0.31496062992125984" footer="0.31496062992125984"/>
  <pageSetup paperSize="9" scale="73" orientation="landscape" r:id="rId1"/>
  <rowBreaks count="1" manualBreakCount="1">
    <brk id="35"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X190"/>
  <sheetViews>
    <sheetView zoomScaleNormal="100" workbookViewId="0">
      <selection activeCell="C8" sqref="C8:E8"/>
    </sheetView>
  </sheetViews>
  <sheetFormatPr baseColWidth="10" defaultColWidth="11.5546875" defaultRowHeight="13.2" x14ac:dyDescent="0.25"/>
  <cols>
    <col min="1" max="1" width="20.6640625" style="421" customWidth="1"/>
    <col min="2" max="3" width="11.5546875" style="421"/>
    <col min="4" max="4" width="11.5546875" style="421" bestFit="1" customWidth="1"/>
    <col min="5" max="5" width="20.44140625" style="421" customWidth="1"/>
    <col min="6" max="6" width="16" style="421" customWidth="1"/>
    <col min="7" max="7" width="19.109375" style="421" customWidth="1"/>
    <col min="8" max="8" width="19" style="421" customWidth="1"/>
    <col min="9" max="9" width="20.5546875" style="421" customWidth="1"/>
    <col min="10" max="10" width="21.5546875" style="421" customWidth="1"/>
    <col min="11" max="16384" width="11.5546875" style="421"/>
  </cols>
  <sheetData>
    <row r="1" spans="1:11" s="426" customFormat="1" ht="15" customHeight="1" x14ac:dyDescent="0.25">
      <c r="A1" s="425" t="s">
        <v>339</v>
      </c>
      <c r="C1" s="425"/>
      <c r="D1" s="425"/>
      <c r="E1" s="425"/>
      <c r="F1" s="425"/>
      <c r="J1" s="347" t="s">
        <v>495</v>
      </c>
    </row>
    <row r="2" spans="1:11" s="426" customFormat="1" ht="15.6" x14ac:dyDescent="0.25">
      <c r="A2" s="425" t="s">
        <v>343</v>
      </c>
    </row>
    <row r="3" spans="1:11" s="428" customFormat="1" ht="12.75" customHeight="1" x14ac:dyDescent="0.25">
      <c r="A3" s="574" t="s">
        <v>562</v>
      </c>
      <c r="B3" s="574"/>
      <c r="C3" s="574"/>
      <c r="D3" s="574"/>
      <c r="E3" s="574"/>
      <c r="F3" s="574"/>
      <c r="G3" s="574"/>
      <c r="H3" s="574"/>
      <c r="I3" s="574"/>
      <c r="J3" s="453"/>
    </row>
    <row r="4" spans="1:11" s="428" customFormat="1" x14ac:dyDescent="0.25">
      <c r="A4" s="574"/>
      <c r="B4" s="574"/>
      <c r="C4" s="574"/>
      <c r="D4" s="574"/>
      <c r="E4" s="574"/>
      <c r="F4" s="574"/>
      <c r="G4" s="574"/>
      <c r="H4" s="574"/>
      <c r="I4" s="574"/>
      <c r="J4" s="453"/>
    </row>
    <row r="5" spans="1:11" s="428" customFormat="1" x14ac:dyDescent="0.25">
      <c r="A5" s="574"/>
      <c r="B5" s="574"/>
      <c r="C5" s="574"/>
      <c r="D5" s="574"/>
      <c r="E5" s="574"/>
      <c r="F5" s="574"/>
      <c r="G5" s="574"/>
      <c r="H5" s="574"/>
      <c r="I5" s="574"/>
      <c r="J5" s="453"/>
      <c r="K5" s="429"/>
    </row>
    <row r="6" spans="1:11" s="428" customFormat="1" x14ac:dyDescent="0.25">
      <c r="A6" s="582" t="s">
        <v>139</v>
      </c>
      <c r="B6" s="582"/>
      <c r="C6" s="575">
        <v>2024</v>
      </c>
      <c r="D6" s="583"/>
      <c r="E6" s="583"/>
      <c r="G6" s="351"/>
      <c r="H6" s="351"/>
      <c r="I6" s="351"/>
    </row>
    <row r="7" spans="1:11" s="428" customFormat="1" x14ac:dyDescent="0.25">
      <c r="A7" s="582" t="s">
        <v>140</v>
      </c>
      <c r="B7" s="582"/>
      <c r="C7" s="576">
        <f>'[1]1 Gesamtübersicht'!E10</f>
        <v>0</v>
      </c>
      <c r="D7" s="583"/>
      <c r="E7" s="583"/>
      <c r="G7" s="351"/>
      <c r="H7" s="351"/>
      <c r="I7" s="351"/>
    </row>
    <row r="8" spans="1:11" s="428" customFormat="1" x14ac:dyDescent="0.25">
      <c r="A8" s="582" t="s">
        <v>141</v>
      </c>
      <c r="B8" s="582"/>
      <c r="C8" s="577"/>
      <c r="D8" s="577"/>
      <c r="E8" s="577"/>
      <c r="G8" s="351"/>
      <c r="H8" s="351"/>
      <c r="I8" s="351"/>
    </row>
    <row r="11" spans="1:11" ht="13.8" x14ac:dyDescent="0.25">
      <c r="E11" s="579" t="s">
        <v>533</v>
      </c>
      <c r="F11" s="580"/>
      <c r="G11" s="580"/>
      <c r="H11" s="580"/>
      <c r="I11" s="580"/>
      <c r="J11" s="581"/>
    </row>
    <row r="12" spans="1:11" s="448" customFormat="1" ht="94.2" customHeight="1" x14ac:dyDescent="0.25">
      <c r="A12" s="445" t="s">
        <v>535</v>
      </c>
      <c r="B12" s="446" t="s">
        <v>536</v>
      </c>
      <c r="C12" s="447" t="s">
        <v>537</v>
      </c>
      <c r="D12" s="447" t="s">
        <v>538</v>
      </c>
      <c r="E12" s="447" t="s">
        <v>559</v>
      </c>
      <c r="F12" s="447" t="s">
        <v>545</v>
      </c>
      <c r="G12" s="447" t="s">
        <v>548</v>
      </c>
      <c r="H12" s="447" t="s">
        <v>546</v>
      </c>
      <c r="I12" s="447" t="s">
        <v>547</v>
      </c>
      <c r="J12" s="447" t="s">
        <v>560</v>
      </c>
    </row>
    <row r="13" spans="1:11" x14ac:dyDescent="0.25">
      <c r="A13" s="449"/>
      <c r="B13" s="437"/>
      <c r="C13" s="437"/>
      <c r="D13" s="437"/>
      <c r="E13" s="437"/>
      <c r="F13" s="437"/>
      <c r="G13" s="437"/>
      <c r="H13" s="437"/>
      <c r="I13" s="437"/>
      <c r="J13" s="437"/>
    </row>
    <row r="14" spans="1:11" x14ac:dyDescent="0.25">
      <c r="A14" s="449"/>
      <c r="B14" s="437"/>
      <c r="C14" s="437"/>
      <c r="D14" s="437"/>
      <c r="E14" s="437"/>
      <c r="F14" s="437"/>
      <c r="G14" s="437"/>
      <c r="H14" s="437"/>
      <c r="I14" s="437"/>
      <c r="J14" s="437"/>
    </row>
    <row r="15" spans="1:11" s="456" customFormat="1" x14ac:dyDescent="0.25">
      <c r="A15" s="449"/>
      <c r="B15" s="437"/>
      <c r="C15" s="437"/>
      <c r="D15" s="437"/>
      <c r="E15" s="437"/>
      <c r="F15" s="437"/>
      <c r="G15" s="437"/>
      <c r="H15" s="437"/>
      <c r="I15" s="437"/>
      <c r="J15" s="437"/>
    </row>
    <row r="16" spans="1:11" s="456" customFormat="1" x14ac:dyDescent="0.25">
      <c r="A16" s="449"/>
      <c r="B16" s="437"/>
      <c r="C16" s="437"/>
      <c r="D16" s="437"/>
      <c r="E16" s="437"/>
      <c r="F16" s="437"/>
      <c r="G16" s="437"/>
      <c r="H16" s="437"/>
      <c r="I16" s="437"/>
      <c r="J16" s="437"/>
    </row>
    <row r="17" spans="1:10" s="456" customFormat="1" x14ac:dyDescent="0.25">
      <c r="A17" s="449"/>
      <c r="B17" s="437"/>
      <c r="C17" s="437"/>
      <c r="D17" s="437"/>
      <c r="E17" s="437"/>
      <c r="F17" s="437"/>
      <c r="G17" s="437"/>
      <c r="H17" s="437"/>
      <c r="I17" s="437"/>
      <c r="J17" s="437"/>
    </row>
    <row r="18" spans="1:10" s="456" customFormat="1" x14ac:dyDescent="0.25">
      <c r="A18" s="449"/>
      <c r="B18" s="437"/>
      <c r="C18" s="437"/>
      <c r="D18" s="437"/>
      <c r="E18" s="437"/>
      <c r="F18" s="437"/>
      <c r="G18" s="437"/>
      <c r="H18" s="437"/>
      <c r="I18" s="437"/>
      <c r="J18" s="437"/>
    </row>
    <row r="19" spans="1:10" s="456" customFormat="1" x14ac:dyDescent="0.25">
      <c r="A19" s="449"/>
      <c r="B19" s="437"/>
      <c r="C19" s="437"/>
      <c r="D19" s="437"/>
      <c r="E19" s="437"/>
      <c r="F19" s="437"/>
      <c r="G19" s="437"/>
      <c r="H19" s="437"/>
      <c r="I19" s="437"/>
      <c r="J19" s="437"/>
    </row>
    <row r="20" spans="1:10" s="456" customFormat="1" x14ac:dyDescent="0.25">
      <c r="A20" s="449"/>
      <c r="B20" s="437"/>
      <c r="C20" s="437"/>
      <c r="D20" s="437"/>
      <c r="E20" s="437"/>
      <c r="F20" s="437"/>
      <c r="G20" s="437"/>
      <c r="H20" s="437"/>
      <c r="I20" s="437"/>
      <c r="J20" s="437"/>
    </row>
    <row r="21" spans="1:10" s="456" customFormat="1" x14ac:dyDescent="0.25">
      <c r="A21" s="449"/>
      <c r="B21" s="437"/>
      <c r="C21" s="437"/>
      <c r="D21" s="437"/>
      <c r="E21" s="437"/>
      <c r="F21" s="437"/>
      <c r="G21" s="437"/>
      <c r="H21" s="437"/>
      <c r="I21" s="437"/>
      <c r="J21" s="437"/>
    </row>
    <row r="22" spans="1:10" s="456" customFormat="1" x14ac:dyDescent="0.25">
      <c r="A22" s="449"/>
      <c r="B22" s="437"/>
      <c r="C22" s="437"/>
      <c r="D22" s="437"/>
      <c r="E22" s="437"/>
      <c r="F22" s="437"/>
      <c r="G22" s="437"/>
      <c r="H22" s="437"/>
      <c r="I22" s="437"/>
      <c r="J22" s="437"/>
    </row>
    <row r="23" spans="1:10" s="456" customFormat="1" x14ac:dyDescent="0.25">
      <c r="A23" s="449"/>
      <c r="B23" s="437"/>
      <c r="C23" s="437"/>
      <c r="D23" s="437"/>
      <c r="E23" s="437"/>
      <c r="F23" s="437"/>
      <c r="G23" s="437"/>
      <c r="H23" s="437"/>
      <c r="I23" s="437"/>
      <c r="J23" s="437"/>
    </row>
    <row r="24" spans="1:10" s="456" customFormat="1" x14ac:dyDescent="0.25">
      <c r="A24" s="449"/>
      <c r="B24" s="437"/>
      <c r="C24" s="437"/>
      <c r="D24" s="437"/>
      <c r="E24" s="437"/>
      <c r="F24" s="437"/>
      <c r="G24" s="437"/>
      <c r="H24" s="437"/>
      <c r="I24" s="437"/>
      <c r="J24" s="437"/>
    </row>
    <row r="25" spans="1:10" s="456" customFormat="1" x14ac:dyDescent="0.25">
      <c r="A25" s="449"/>
      <c r="B25" s="437"/>
      <c r="C25" s="437"/>
      <c r="D25" s="437"/>
      <c r="E25" s="437"/>
      <c r="F25" s="437"/>
      <c r="G25" s="437"/>
      <c r="H25" s="437"/>
      <c r="I25" s="437"/>
      <c r="J25" s="437"/>
    </row>
    <row r="26" spans="1:10" s="456" customFormat="1" x14ac:dyDescent="0.25">
      <c r="A26" s="449"/>
      <c r="B26" s="437"/>
      <c r="C26" s="437"/>
      <c r="D26" s="437"/>
      <c r="E26" s="437"/>
      <c r="F26" s="437"/>
      <c r="G26" s="437"/>
      <c r="H26" s="437"/>
      <c r="I26" s="437"/>
      <c r="J26" s="437"/>
    </row>
    <row r="27" spans="1:10" s="456" customFormat="1" x14ac:dyDescent="0.25">
      <c r="A27" s="449"/>
      <c r="B27" s="437"/>
      <c r="C27" s="437"/>
      <c r="D27" s="437"/>
      <c r="E27" s="437"/>
      <c r="F27" s="437"/>
      <c r="G27" s="437"/>
      <c r="H27" s="437"/>
      <c r="I27" s="437"/>
      <c r="J27" s="437"/>
    </row>
    <row r="28" spans="1:10" s="456" customFormat="1" x14ac:dyDescent="0.25">
      <c r="A28" s="449"/>
      <c r="B28" s="437"/>
      <c r="C28" s="437"/>
      <c r="D28" s="437"/>
      <c r="E28" s="437"/>
      <c r="F28" s="437"/>
      <c r="G28" s="437"/>
      <c r="H28" s="437"/>
      <c r="I28" s="437"/>
      <c r="J28" s="437"/>
    </row>
    <row r="29" spans="1:10" s="456" customFormat="1" x14ac:dyDescent="0.25">
      <c r="A29" s="449"/>
      <c r="B29" s="437"/>
      <c r="C29" s="437"/>
      <c r="D29" s="437"/>
      <c r="E29" s="437"/>
      <c r="F29" s="437"/>
      <c r="G29" s="437"/>
      <c r="H29" s="437"/>
      <c r="I29" s="437"/>
      <c r="J29" s="437"/>
    </row>
    <row r="30" spans="1:10" s="456" customFormat="1" x14ac:dyDescent="0.25">
      <c r="A30" s="449"/>
      <c r="B30" s="437"/>
      <c r="C30" s="437"/>
      <c r="D30" s="437"/>
      <c r="E30" s="437"/>
      <c r="F30" s="437"/>
      <c r="G30" s="437"/>
      <c r="H30" s="437"/>
      <c r="I30" s="437"/>
      <c r="J30" s="437"/>
    </row>
    <row r="31" spans="1:10" s="456" customFormat="1" x14ac:dyDescent="0.25">
      <c r="A31" s="449"/>
      <c r="B31" s="437"/>
      <c r="C31" s="437"/>
      <c r="D31" s="437"/>
      <c r="E31" s="437"/>
      <c r="F31" s="437"/>
      <c r="G31" s="437"/>
      <c r="H31" s="437"/>
      <c r="I31" s="437"/>
      <c r="J31" s="437"/>
    </row>
    <row r="32" spans="1:10" s="456" customFormat="1" x14ac:dyDescent="0.25">
      <c r="A32" s="449"/>
      <c r="B32" s="437"/>
      <c r="C32" s="437"/>
      <c r="D32" s="437"/>
      <c r="E32" s="437"/>
      <c r="F32" s="437"/>
      <c r="G32" s="437"/>
      <c r="H32" s="437"/>
      <c r="I32" s="437"/>
      <c r="J32" s="437"/>
    </row>
    <row r="33" spans="1:10" s="456" customFormat="1" x14ac:dyDescent="0.25">
      <c r="A33" s="449"/>
      <c r="B33" s="437"/>
      <c r="C33" s="437"/>
      <c r="D33" s="437"/>
      <c r="E33" s="437"/>
      <c r="F33" s="437"/>
      <c r="G33" s="437"/>
      <c r="H33" s="437"/>
      <c r="I33" s="437"/>
      <c r="J33" s="437"/>
    </row>
    <row r="34" spans="1:10" s="456" customFormat="1" x14ac:dyDescent="0.25">
      <c r="A34" s="449"/>
      <c r="B34" s="437"/>
      <c r="C34" s="437"/>
      <c r="D34" s="437"/>
      <c r="E34" s="437"/>
      <c r="F34" s="437"/>
      <c r="G34" s="437"/>
      <c r="H34" s="437"/>
      <c r="I34" s="437"/>
      <c r="J34" s="437"/>
    </row>
    <row r="35" spans="1:10" s="456" customFormat="1" x14ac:dyDescent="0.25">
      <c r="A35" s="449"/>
      <c r="B35" s="437"/>
      <c r="C35" s="437"/>
      <c r="D35" s="437"/>
      <c r="E35" s="437"/>
      <c r="F35" s="437"/>
      <c r="G35" s="437"/>
      <c r="H35" s="437"/>
      <c r="I35" s="437"/>
      <c r="J35" s="437"/>
    </row>
    <row r="36" spans="1:10" s="456" customFormat="1" x14ac:dyDescent="0.25">
      <c r="A36" s="449"/>
      <c r="B36" s="437"/>
      <c r="C36" s="437"/>
      <c r="D36" s="437"/>
      <c r="E36" s="437"/>
      <c r="F36" s="437"/>
      <c r="G36" s="437"/>
      <c r="H36" s="437"/>
      <c r="I36" s="437"/>
      <c r="J36" s="437"/>
    </row>
    <row r="37" spans="1:10" s="456" customFormat="1" x14ac:dyDescent="0.25">
      <c r="A37" s="449"/>
      <c r="B37" s="437"/>
      <c r="C37" s="437"/>
      <c r="D37" s="437"/>
      <c r="E37" s="437"/>
      <c r="F37" s="437"/>
      <c r="G37" s="437"/>
      <c r="H37" s="437"/>
      <c r="I37" s="437"/>
      <c r="J37" s="437"/>
    </row>
    <row r="38" spans="1:10" s="456" customFormat="1" x14ac:dyDescent="0.25">
      <c r="A38" s="449"/>
      <c r="B38" s="437"/>
      <c r="C38" s="437"/>
      <c r="D38" s="437"/>
      <c r="E38" s="437"/>
      <c r="F38" s="437"/>
      <c r="G38" s="437"/>
      <c r="H38" s="437"/>
      <c r="I38" s="437"/>
      <c r="J38" s="437"/>
    </row>
    <row r="39" spans="1:10" s="456" customFormat="1" x14ac:dyDescent="0.25">
      <c r="A39" s="449"/>
      <c r="B39" s="437"/>
      <c r="C39" s="437"/>
      <c r="D39" s="437"/>
      <c r="E39" s="437"/>
      <c r="F39" s="437"/>
      <c r="G39" s="437"/>
      <c r="H39" s="437"/>
      <c r="I39" s="437"/>
      <c r="J39" s="437"/>
    </row>
    <row r="40" spans="1:10" s="456" customFormat="1" x14ac:dyDescent="0.25">
      <c r="A40" s="449"/>
      <c r="B40" s="437"/>
      <c r="C40" s="437"/>
      <c r="D40" s="437"/>
      <c r="E40" s="437"/>
      <c r="F40" s="437"/>
      <c r="G40" s="437"/>
      <c r="H40" s="437"/>
      <c r="I40" s="437"/>
      <c r="J40" s="437"/>
    </row>
    <row r="41" spans="1:10" s="456" customFormat="1" x14ac:dyDescent="0.25">
      <c r="A41" s="449"/>
      <c r="B41" s="437"/>
      <c r="C41" s="437"/>
      <c r="D41" s="437"/>
      <c r="E41" s="437"/>
      <c r="F41" s="437"/>
      <c r="G41" s="437"/>
      <c r="H41" s="437"/>
      <c r="I41" s="437"/>
      <c r="J41" s="437"/>
    </row>
    <row r="42" spans="1:10" s="456" customFormat="1" x14ac:dyDescent="0.25">
      <c r="A42" s="449"/>
      <c r="B42" s="437"/>
      <c r="C42" s="437"/>
      <c r="D42" s="437"/>
      <c r="E42" s="437"/>
      <c r="F42" s="437"/>
      <c r="G42" s="437"/>
      <c r="H42" s="437"/>
      <c r="I42" s="437"/>
      <c r="J42" s="437"/>
    </row>
    <row r="43" spans="1:10" s="456" customFormat="1" x14ac:dyDescent="0.25">
      <c r="A43" s="449"/>
      <c r="B43" s="437"/>
      <c r="C43" s="437"/>
      <c r="D43" s="437"/>
      <c r="E43" s="437"/>
      <c r="F43" s="437"/>
      <c r="G43" s="437"/>
      <c r="H43" s="437"/>
      <c r="I43" s="437"/>
      <c r="J43" s="437"/>
    </row>
    <row r="44" spans="1:10" s="456" customFormat="1" x14ac:dyDescent="0.25">
      <c r="A44" s="449"/>
      <c r="B44" s="437"/>
      <c r="C44" s="437"/>
      <c r="D44" s="437"/>
      <c r="E44" s="437"/>
      <c r="F44" s="437"/>
      <c r="G44" s="437"/>
      <c r="H44" s="437"/>
      <c r="I44" s="437"/>
      <c r="J44" s="437"/>
    </row>
    <row r="45" spans="1:10" s="456" customFormat="1" x14ac:dyDescent="0.25">
      <c r="A45" s="449"/>
      <c r="B45" s="437"/>
      <c r="C45" s="437"/>
      <c r="D45" s="437"/>
      <c r="E45" s="437"/>
      <c r="F45" s="437"/>
      <c r="G45" s="437"/>
      <c r="H45" s="437"/>
      <c r="I45" s="437"/>
      <c r="J45" s="437"/>
    </row>
    <row r="46" spans="1:10" s="456" customFormat="1" x14ac:dyDescent="0.25">
      <c r="A46" s="449"/>
      <c r="B46" s="437"/>
      <c r="C46" s="437"/>
      <c r="D46" s="437"/>
      <c r="E46" s="437"/>
      <c r="F46" s="437"/>
      <c r="G46" s="437"/>
      <c r="H46" s="437"/>
      <c r="I46" s="437"/>
      <c r="J46" s="437"/>
    </row>
    <row r="47" spans="1:10" s="456" customFormat="1" x14ac:dyDescent="0.25">
      <c r="A47" s="449"/>
      <c r="B47" s="437"/>
      <c r="C47" s="437"/>
      <c r="D47" s="437"/>
      <c r="E47" s="437"/>
      <c r="F47" s="437"/>
      <c r="G47" s="437"/>
      <c r="H47" s="437"/>
      <c r="I47" s="437"/>
      <c r="J47" s="437"/>
    </row>
    <row r="48" spans="1:10" s="456" customFormat="1" x14ac:dyDescent="0.25">
      <c r="A48" s="449"/>
      <c r="B48" s="437"/>
      <c r="C48" s="437"/>
      <c r="D48" s="437"/>
      <c r="E48" s="437"/>
      <c r="F48" s="437"/>
      <c r="G48" s="437"/>
      <c r="H48" s="437"/>
      <c r="I48" s="437"/>
      <c r="J48" s="437"/>
    </row>
    <row r="49" spans="1:10" s="456" customFormat="1" x14ac:dyDescent="0.25">
      <c r="A49" s="449"/>
      <c r="B49" s="437"/>
      <c r="C49" s="437"/>
      <c r="D49" s="437"/>
      <c r="E49" s="437"/>
      <c r="F49" s="437"/>
      <c r="G49" s="437"/>
      <c r="H49" s="437"/>
      <c r="I49" s="437"/>
      <c r="J49" s="437"/>
    </row>
    <row r="50" spans="1:10" s="456" customFormat="1" x14ac:dyDescent="0.25">
      <c r="A50" s="449"/>
      <c r="B50" s="437"/>
      <c r="C50" s="437"/>
      <c r="D50" s="437"/>
      <c r="E50" s="437"/>
      <c r="F50" s="437"/>
      <c r="G50" s="437"/>
      <c r="H50" s="437"/>
      <c r="I50" s="437"/>
      <c r="J50" s="437"/>
    </row>
    <row r="51" spans="1:10" s="456" customFormat="1" x14ac:dyDescent="0.25">
      <c r="A51" s="449"/>
      <c r="B51" s="437"/>
      <c r="C51" s="437"/>
      <c r="D51" s="437"/>
      <c r="E51" s="437"/>
      <c r="F51" s="437"/>
      <c r="G51" s="437"/>
      <c r="H51" s="437"/>
      <c r="I51" s="437"/>
      <c r="J51" s="437"/>
    </row>
    <row r="52" spans="1:10" s="456" customFormat="1" x14ac:dyDescent="0.25">
      <c r="A52" s="449"/>
      <c r="B52" s="437"/>
      <c r="C52" s="437"/>
      <c r="D52" s="437"/>
      <c r="E52" s="437"/>
      <c r="F52" s="437"/>
      <c r="G52" s="437"/>
      <c r="H52" s="437"/>
      <c r="I52" s="437"/>
      <c r="J52" s="437"/>
    </row>
    <row r="53" spans="1:10" s="456" customFormat="1" x14ac:dyDescent="0.25">
      <c r="A53" s="449"/>
      <c r="B53" s="437"/>
      <c r="C53" s="437"/>
      <c r="D53" s="437"/>
      <c r="E53" s="437"/>
      <c r="F53" s="437"/>
      <c r="G53" s="437"/>
      <c r="H53" s="437"/>
      <c r="I53" s="437"/>
      <c r="J53" s="437"/>
    </row>
    <row r="54" spans="1:10" s="456" customFormat="1" x14ac:dyDescent="0.25">
      <c r="A54" s="449"/>
      <c r="B54" s="437"/>
      <c r="C54" s="437"/>
      <c r="D54" s="437"/>
      <c r="E54" s="437"/>
      <c r="F54" s="437"/>
      <c r="G54" s="437"/>
      <c r="H54" s="437"/>
      <c r="I54" s="437"/>
      <c r="J54" s="437"/>
    </row>
    <row r="55" spans="1:10" s="456" customFormat="1" x14ac:dyDescent="0.25">
      <c r="A55" s="449"/>
      <c r="B55" s="437"/>
      <c r="C55" s="437"/>
      <c r="D55" s="437"/>
      <c r="E55" s="437"/>
      <c r="F55" s="437"/>
      <c r="G55" s="437"/>
      <c r="H55" s="437"/>
      <c r="I55" s="437"/>
      <c r="J55" s="437"/>
    </row>
    <row r="56" spans="1:10" s="456" customFormat="1" x14ac:dyDescent="0.25">
      <c r="A56" s="449"/>
      <c r="B56" s="437"/>
      <c r="C56" s="437"/>
      <c r="D56" s="437"/>
      <c r="E56" s="437"/>
      <c r="F56" s="437"/>
      <c r="G56" s="437"/>
      <c r="H56" s="437"/>
      <c r="I56" s="437"/>
      <c r="J56" s="437"/>
    </row>
    <row r="57" spans="1:10" s="456" customFormat="1" x14ac:dyDescent="0.25">
      <c r="A57" s="449"/>
      <c r="B57" s="437"/>
      <c r="C57" s="437"/>
      <c r="D57" s="437"/>
      <c r="E57" s="437"/>
      <c r="F57" s="437"/>
      <c r="G57" s="437"/>
      <c r="H57" s="437"/>
      <c r="I57" s="437"/>
      <c r="J57" s="437"/>
    </row>
    <row r="58" spans="1:10" s="456" customFormat="1" x14ac:dyDescent="0.25">
      <c r="A58" s="449"/>
      <c r="B58" s="437"/>
      <c r="C58" s="437"/>
      <c r="D58" s="437"/>
      <c r="E58" s="437"/>
      <c r="F58" s="437"/>
      <c r="G58" s="437"/>
      <c r="H58" s="437"/>
      <c r="I58" s="437"/>
      <c r="J58" s="437"/>
    </row>
    <row r="59" spans="1:10" s="456" customFormat="1" x14ac:dyDescent="0.25">
      <c r="A59" s="449"/>
      <c r="B59" s="437"/>
      <c r="C59" s="437"/>
      <c r="D59" s="437"/>
      <c r="E59" s="437"/>
      <c r="F59" s="437"/>
      <c r="G59" s="437"/>
      <c r="H59" s="437"/>
      <c r="I59" s="437"/>
      <c r="J59" s="437"/>
    </row>
    <row r="60" spans="1:10" s="456" customFormat="1" x14ac:dyDescent="0.25">
      <c r="A60" s="449"/>
      <c r="B60" s="437"/>
      <c r="C60" s="437"/>
      <c r="D60" s="437"/>
      <c r="E60" s="437"/>
      <c r="F60" s="437"/>
      <c r="G60" s="437"/>
      <c r="H60" s="437"/>
      <c r="I60" s="437"/>
      <c r="J60" s="437"/>
    </row>
    <row r="61" spans="1:10" s="456" customFormat="1" x14ac:dyDescent="0.25">
      <c r="A61" s="449"/>
      <c r="B61" s="437"/>
      <c r="C61" s="437"/>
      <c r="D61" s="437"/>
      <c r="E61" s="437"/>
      <c r="F61" s="437"/>
      <c r="G61" s="437"/>
      <c r="H61" s="437"/>
      <c r="I61" s="437"/>
      <c r="J61" s="437"/>
    </row>
    <row r="62" spans="1:10" s="456" customFormat="1" x14ac:dyDescent="0.25">
      <c r="A62" s="449"/>
      <c r="B62" s="437"/>
      <c r="C62" s="437"/>
      <c r="D62" s="437"/>
      <c r="E62" s="437"/>
      <c r="F62" s="437"/>
      <c r="G62" s="437"/>
      <c r="H62" s="437"/>
      <c r="I62" s="437"/>
      <c r="J62" s="437"/>
    </row>
    <row r="63" spans="1:10" s="456" customFormat="1" x14ac:dyDescent="0.25">
      <c r="A63" s="449"/>
      <c r="B63" s="437"/>
      <c r="C63" s="437"/>
      <c r="D63" s="437"/>
      <c r="E63" s="437"/>
      <c r="F63" s="437"/>
      <c r="G63" s="437"/>
      <c r="H63" s="437"/>
      <c r="I63" s="437"/>
      <c r="J63" s="437"/>
    </row>
    <row r="64" spans="1:10" s="456" customFormat="1" x14ac:dyDescent="0.25">
      <c r="A64" s="449"/>
      <c r="B64" s="437"/>
      <c r="C64" s="437"/>
      <c r="D64" s="437"/>
      <c r="E64" s="437"/>
      <c r="F64" s="437"/>
      <c r="G64" s="437"/>
      <c r="H64" s="437"/>
      <c r="I64" s="437"/>
      <c r="J64" s="437"/>
    </row>
    <row r="65" spans="1:10" s="456" customFormat="1" x14ac:dyDescent="0.25">
      <c r="A65" s="449"/>
      <c r="B65" s="437"/>
      <c r="C65" s="437"/>
      <c r="D65" s="437"/>
      <c r="E65" s="437"/>
      <c r="F65" s="437"/>
      <c r="G65" s="437"/>
      <c r="H65" s="437"/>
      <c r="I65" s="437"/>
      <c r="J65" s="437"/>
    </row>
    <row r="66" spans="1:10" s="456" customFormat="1" x14ac:dyDescent="0.25">
      <c r="A66" s="449"/>
      <c r="B66" s="437"/>
      <c r="C66" s="437"/>
      <c r="D66" s="437"/>
      <c r="E66" s="437"/>
      <c r="F66" s="437"/>
      <c r="G66" s="437"/>
      <c r="H66" s="437"/>
      <c r="I66" s="437"/>
      <c r="J66" s="437"/>
    </row>
    <row r="67" spans="1:10" s="456" customFormat="1" x14ac:dyDescent="0.25">
      <c r="A67" s="449"/>
      <c r="B67" s="437"/>
      <c r="C67" s="437"/>
      <c r="D67" s="437"/>
      <c r="E67" s="437"/>
      <c r="F67" s="437"/>
      <c r="G67" s="437"/>
      <c r="H67" s="437"/>
      <c r="I67" s="437"/>
      <c r="J67" s="437"/>
    </row>
    <row r="68" spans="1:10" s="456" customFormat="1" x14ac:dyDescent="0.25">
      <c r="A68" s="449"/>
      <c r="B68" s="437"/>
      <c r="C68" s="437"/>
      <c r="D68" s="437"/>
      <c r="E68" s="437"/>
      <c r="F68" s="437"/>
      <c r="G68" s="437"/>
      <c r="H68" s="437"/>
      <c r="I68" s="437"/>
      <c r="J68" s="437"/>
    </row>
    <row r="69" spans="1:10" s="456" customFormat="1" x14ac:dyDescent="0.25">
      <c r="A69" s="449"/>
      <c r="B69" s="437"/>
      <c r="C69" s="437"/>
      <c r="D69" s="437"/>
      <c r="E69" s="437"/>
      <c r="F69" s="437"/>
      <c r="G69" s="437"/>
      <c r="H69" s="437"/>
      <c r="I69" s="437"/>
      <c r="J69" s="437"/>
    </row>
    <row r="70" spans="1:10" s="456" customFormat="1" x14ac:dyDescent="0.25">
      <c r="A70" s="449"/>
      <c r="B70" s="437"/>
      <c r="C70" s="437"/>
      <c r="D70" s="437"/>
      <c r="E70" s="437"/>
      <c r="F70" s="437"/>
      <c r="G70" s="437"/>
      <c r="H70" s="437"/>
      <c r="I70" s="437"/>
      <c r="J70" s="437"/>
    </row>
    <row r="71" spans="1:10" s="456" customFormat="1" x14ac:dyDescent="0.25">
      <c r="A71" s="449"/>
      <c r="B71" s="437"/>
      <c r="C71" s="437"/>
      <c r="D71" s="437"/>
      <c r="E71" s="437"/>
      <c r="F71" s="437"/>
      <c r="G71" s="437"/>
      <c r="H71" s="437"/>
      <c r="I71" s="437"/>
      <c r="J71" s="437"/>
    </row>
    <row r="72" spans="1:10" s="456" customFormat="1" x14ac:dyDescent="0.25">
      <c r="A72" s="449"/>
      <c r="B72" s="437"/>
      <c r="C72" s="437"/>
      <c r="D72" s="437"/>
      <c r="E72" s="437"/>
      <c r="F72" s="437"/>
      <c r="G72" s="437"/>
      <c r="H72" s="437"/>
      <c r="I72" s="437"/>
      <c r="J72" s="437"/>
    </row>
    <row r="73" spans="1:10" s="456" customFormat="1" x14ac:dyDescent="0.25">
      <c r="A73" s="449"/>
      <c r="B73" s="437"/>
      <c r="C73" s="437"/>
      <c r="D73" s="437"/>
      <c r="E73" s="437"/>
      <c r="F73" s="437"/>
      <c r="G73" s="437"/>
      <c r="H73" s="437"/>
      <c r="I73" s="437"/>
      <c r="J73" s="437"/>
    </row>
    <row r="74" spans="1:10" s="456" customFormat="1" x14ac:dyDescent="0.25">
      <c r="A74" s="449"/>
      <c r="B74" s="437"/>
      <c r="C74" s="437"/>
      <c r="D74" s="437"/>
      <c r="E74" s="437"/>
      <c r="F74" s="437"/>
      <c r="G74" s="437"/>
      <c r="H74" s="437"/>
      <c r="I74" s="437"/>
      <c r="J74" s="437"/>
    </row>
    <row r="75" spans="1:10" s="456" customFormat="1" x14ac:dyDescent="0.25">
      <c r="A75" s="449"/>
      <c r="B75" s="437"/>
      <c r="C75" s="437"/>
      <c r="D75" s="437"/>
      <c r="E75" s="437"/>
      <c r="F75" s="437"/>
      <c r="G75" s="437"/>
      <c r="H75" s="437"/>
      <c r="I75" s="437"/>
      <c r="J75" s="437"/>
    </row>
    <row r="76" spans="1:10" s="456" customFormat="1" x14ac:dyDescent="0.25">
      <c r="A76" s="449"/>
      <c r="B76" s="437"/>
      <c r="C76" s="437"/>
      <c r="D76" s="437"/>
      <c r="E76" s="437"/>
      <c r="F76" s="437"/>
      <c r="G76" s="437"/>
      <c r="H76" s="437"/>
      <c r="I76" s="437"/>
      <c r="J76" s="437"/>
    </row>
    <row r="77" spans="1:10" s="456" customFormat="1" x14ac:dyDescent="0.25">
      <c r="A77" s="449"/>
      <c r="B77" s="437"/>
      <c r="C77" s="437"/>
      <c r="D77" s="437"/>
      <c r="E77" s="437"/>
      <c r="F77" s="437"/>
      <c r="G77" s="437"/>
      <c r="H77" s="437"/>
      <c r="I77" s="437"/>
      <c r="J77" s="437"/>
    </row>
    <row r="78" spans="1:10" s="456" customFormat="1" x14ac:dyDescent="0.25">
      <c r="A78" s="449"/>
      <c r="B78" s="437"/>
      <c r="C78" s="437"/>
      <c r="D78" s="437"/>
      <c r="E78" s="437"/>
      <c r="F78" s="437"/>
      <c r="G78" s="437"/>
      <c r="H78" s="437"/>
      <c r="I78" s="437"/>
      <c r="J78" s="437"/>
    </row>
    <row r="79" spans="1:10" s="456" customFormat="1" x14ac:dyDescent="0.25">
      <c r="A79" s="449"/>
      <c r="B79" s="437"/>
      <c r="C79" s="437"/>
      <c r="D79" s="437"/>
      <c r="E79" s="437"/>
      <c r="F79" s="437"/>
      <c r="G79" s="437"/>
      <c r="H79" s="437"/>
      <c r="I79" s="437"/>
      <c r="J79" s="437"/>
    </row>
    <row r="80" spans="1:10" s="456" customFormat="1" x14ac:dyDescent="0.25">
      <c r="A80" s="449"/>
      <c r="B80" s="437"/>
      <c r="C80" s="437"/>
      <c r="D80" s="437"/>
      <c r="E80" s="437"/>
      <c r="F80" s="437"/>
      <c r="G80" s="437"/>
      <c r="H80" s="437"/>
      <c r="I80" s="437"/>
      <c r="J80" s="437"/>
    </row>
    <row r="81" spans="1:24" s="456" customFormat="1" x14ac:dyDescent="0.25">
      <c r="A81" s="449"/>
      <c r="B81" s="437"/>
      <c r="C81" s="437"/>
      <c r="D81" s="437"/>
      <c r="E81" s="437"/>
      <c r="F81" s="437"/>
      <c r="G81" s="437"/>
      <c r="H81" s="437"/>
      <c r="I81" s="437"/>
      <c r="J81" s="437"/>
    </row>
    <row r="82" spans="1:24" s="456" customFormat="1" x14ac:dyDescent="0.25">
      <c r="A82" s="449"/>
      <c r="B82" s="437"/>
      <c r="C82" s="437"/>
      <c r="D82" s="437"/>
      <c r="E82" s="437"/>
      <c r="F82" s="437"/>
      <c r="G82" s="437"/>
      <c r="H82" s="437"/>
      <c r="I82" s="437"/>
      <c r="J82" s="437"/>
    </row>
    <row r="83" spans="1:24" s="456" customFormat="1" x14ac:dyDescent="0.25">
      <c r="A83" s="449"/>
      <c r="B83" s="437"/>
      <c r="C83" s="437"/>
      <c r="D83" s="437"/>
      <c r="E83" s="437"/>
      <c r="F83" s="437"/>
      <c r="G83" s="437"/>
      <c r="H83" s="437"/>
      <c r="I83" s="437"/>
      <c r="J83" s="437"/>
    </row>
    <row r="84" spans="1:24" s="456" customFormat="1" x14ac:dyDescent="0.25">
      <c r="A84" s="449"/>
      <c r="B84" s="437"/>
      <c r="C84" s="437"/>
      <c r="D84" s="437"/>
      <c r="E84" s="437"/>
      <c r="F84" s="437"/>
      <c r="G84" s="437"/>
      <c r="H84" s="437"/>
      <c r="I84" s="437"/>
      <c r="J84" s="437"/>
    </row>
    <row r="85" spans="1:24" s="456" customFormat="1" x14ac:dyDescent="0.25">
      <c r="A85" s="449"/>
      <c r="B85" s="437"/>
      <c r="C85" s="437"/>
      <c r="D85" s="437"/>
      <c r="E85" s="437"/>
      <c r="F85" s="437"/>
      <c r="G85" s="437"/>
      <c r="H85" s="437"/>
      <c r="I85" s="437"/>
      <c r="J85" s="437"/>
    </row>
    <row r="86" spans="1:24" s="456" customFormat="1" x14ac:dyDescent="0.25">
      <c r="A86" s="449"/>
      <c r="B86" s="437"/>
      <c r="C86" s="437"/>
      <c r="D86" s="437"/>
      <c r="E86" s="437"/>
      <c r="F86" s="437"/>
      <c r="G86" s="437"/>
      <c r="H86" s="437"/>
      <c r="I86" s="437"/>
      <c r="J86" s="437"/>
    </row>
    <row r="87" spans="1:24" x14ac:dyDescent="0.25">
      <c r="A87" s="449"/>
      <c r="B87" s="437"/>
      <c r="C87" s="437"/>
      <c r="D87" s="437"/>
      <c r="E87" s="437"/>
      <c r="F87" s="437"/>
      <c r="G87" s="437"/>
      <c r="H87" s="437"/>
      <c r="I87" s="437"/>
      <c r="J87" s="437"/>
    </row>
    <row r="88" spans="1:24" x14ac:dyDescent="0.25">
      <c r="A88" s="437"/>
      <c r="B88" s="437"/>
      <c r="C88" s="437"/>
      <c r="D88" s="437"/>
      <c r="E88" s="437"/>
      <c r="F88" s="437"/>
      <c r="G88" s="437"/>
      <c r="H88" s="437"/>
      <c r="I88" s="437"/>
      <c r="J88" s="437"/>
    </row>
    <row r="89" spans="1:24" s="346" customFormat="1" x14ac:dyDescent="0.25">
      <c r="A89" s="437"/>
      <c r="B89" s="437"/>
      <c r="C89" s="437"/>
      <c r="D89" s="437"/>
      <c r="E89" s="437"/>
      <c r="F89" s="437"/>
      <c r="G89" s="437"/>
      <c r="H89" s="450"/>
      <c r="I89" s="450"/>
      <c r="J89" s="450"/>
      <c r="S89" s="421"/>
      <c r="T89" s="421"/>
      <c r="U89" s="421"/>
      <c r="V89" s="421"/>
      <c r="W89" s="421"/>
      <c r="X89" s="421"/>
    </row>
    <row r="90" spans="1:24" s="346" customFormat="1" x14ac:dyDescent="0.25">
      <c r="A90" s="437"/>
      <c r="B90" s="437"/>
      <c r="C90" s="437"/>
      <c r="D90" s="437"/>
      <c r="E90" s="437"/>
      <c r="F90" s="437"/>
      <c r="G90" s="437"/>
      <c r="H90" s="450"/>
      <c r="I90" s="450"/>
      <c r="J90" s="450"/>
      <c r="S90" s="421"/>
      <c r="T90" s="421"/>
      <c r="U90" s="421"/>
      <c r="V90" s="421"/>
      <c r="W90" s="421"/>
      <c r="X90" s="421"/>
    </row>
    <row r="91" spans="1:24" x14ac:dyDescent="0.25">
      <c r="A91" s="437"/>
      <c r="B91" s="437"/>
      <c r="C91" s="437"/>
      <c r="D91" s="437"/>
      <c r="E91" s="437"/>
      <c r="F91" s="437"/>
      <c r="G91" s="437"/>
      <c r="H91" s="437"/>
      <c r="I91" s="437"/>
      <c r="J91" s="437"/>
    </row>
    <row r="92" spans="1:24" x14ac:dyDescent="0.25">
      <c r="A92" s="437"/>
      <c r="B92" s="437"/>
      <c r="C92" s="437"/>
      <c r="D92" s="437"/>
      <c r="E92" s="437"/>
      <c r="F92" s="437"/>
      <c r="G92" s="437"/>
      <c r="H92" s="437"/>
      <c r="I92" s="437"/>
      <c r="J92" s="437"/>
    </row>
    <row r="93" spans="1:24" x14ac:dyDescent="0.25">
      <c r="A93" s="437"/>
      <c r="B93" s="437"/>
      <c r="C93" s="437"/>
      <c r="D93" s="437"/>
      <c r="E93" s="437"/>
      <c r="F93" s="437"/>
      <c r="G93" s="437"/>
      <c r="H93" s="437"/>
      <c r="I93" s="437"/>
      <c r="J93" s="437"/>
    </row>
    <row r="94" spans="1:24" x14ac:dyDescent="0.25">
      <c r="A94" s="437"/>
      <c r="B94" s="437"/>
      <c r="C94" s="437"/>
      <c r="D94" s="437"/>
      <c r="E94" s="437"/>
      <c r="F94" s="437"/>
      <c r="G94" s="437"/>
      <c r="H94" s="437"/>
      <c r="I94" s="437"/>
      <c r="J94" s="437"/>
    </row>
    <row r="95" spans="1:24" x14ac:dyDescent="0.25">
      <c r="A95" s="437"/>
      <c r="B95" s="437"/>
      <c r="C95" s="437"/>
      <c r="D95" s="437"/>
      <c r="E95" s="437"/>
      <c r="F95" s="437"/>
      <c r="G95" s="437"/>
      <c r="H95" s="437"/>
      <c r="I95" s="437"/>
      <c r="J95" s="437"/>
    </row>
    <row r="96" spans="1:24" x14ac:dyDescent="0.25">
      <c r="A96" s="437"/>
      <c r="B96" s="437"/>
      <c r="C96" s="437"/>
      <c r="D96" s="437"/>
      <c r="E96" s="437"/>
      <c r="F96" s="437"/>
      <c r="G96" s="437"/>
      <c r="H96" s="437"/>
      <c r="I96" s="437"/>
      <c r="J96" s="437"/>
    </row>
    <row r="97" spans="1:10" x14ac:dyDescent="0.25">
      <c r="A97" s="437"/>
      <c r="B97" s="437"/>
      <c r="C97" s="437"/>
      <c r="D97" s="437"/>
      <c r="E97" s="437"/>
      <c r="F97" s="437"/>
      <c r="G97" s="437"/>
      <c r="H97" s="437"/>
      <c r="I97" s="437"/>
      <c r="J97" s="437"/>
    </row>
    <row r="98" spans="1:10" x14ac:dyDescent="0.25">
      <c r="A98" s="437"/>
      <c r="B98" s="437"/>
      <c r="C98" s="437"/>
      <c r="D98" s="437"/>
      <c r="E98" s="437"/>
      <c r="F98" s="437"/>
      <c r="G98" s="437"/>
      <c r="H98" s="437"/>
      <c r="I98" s="437"/>
      <c r="J98" s="437"/>
    </row>
    <row r="99" spans="1:10" s="456" customFormat="1" x14ac:dyDescent="0.25">
      <c r="A99" s="437"/>
      <c r="B99" s="437"/>
      <c r="C99" s="437"/>
      <c r="D99" s="437"/>
      <c r="E99" s="437"/>
      <c r="F99" s="437"/>
      <c r="G99" s="437"/>
      <c r="H99" s="437"/>
      <c r="I99" s="437"/>
      <c r="J99" s="437"/>
    </row>
    <row r="100" spans="1:10" s="456" customFormat="1" x14ac:dyDescent="0.25">
      <c r="A100" s="437"/>
      <c r="B100" s="437"/>
      <c r="C100" s="437"/>
      <c r="D100" s="437"/>
      <c r="E100" s="437"/>
      <c r="F100" s="437"/>
      <c r="G100" s="437"/>
      <c r="H100" s="437"/>
      <c r="I100" s="437"/>
      <c r="J100" s="437"/>
    </row>
    <row r="101" spans="1:10" s="456" customFormat="1" x14ac:dyDescent="0.25">
      <c r="A101" s="437"/>
      <c r="B101" s="437"/>
      <c r="C101" s="437"/>
      <c r="D101" s="437"/>
      <c r="E101" s="437"/>
      <c r="F101" s="437"/>
      <c r="G101" s="437"/>
      <c r="H101" s="437"/>
      <c r="I101" s="437"/>
      <c r="J101" s="437"/>
    </row>
    <row r="102" spans="1:10" s="456" customFormat="1" x14ac:dyDescent="0.25">
      <c r="A102" s="437"/>
      <c r="B102" s="437"/>
      <c r="C102" s="437"/>
      <c r="D102" s="437"/>
      <c r="E102" s="437"/>
      <c r="F102" s="437"/>
      <c r="G102" s="437"/>
      <c r="H102" s="437"/>
      <c r="I102" s="437"/>
      <c r="J102" s="437"/>
    </row>
    <row r="103" spans="1:10" s="456" customFormat="1" x14ac:dyDescent="0.25">
      <c r="A103" s="437"/>
      <c r="B103" s="437"/>
      <c r="C103" s="437"/>
      <c r="D103" s="437"/>
      <c r="E103" s="437"/>
      <c r="F103" s="437"/>
      <c r="G103" s="437"/>
      <c r="H103" s="437"/>
      <c r="I103" s="437"/>
      <c r="J103" s="437"/>
    </row>
    <row r="104" spans="1:10" s="456" customFormat="1" x14ac:dyDescent="0.25">
      <c r="A104" s="437"/>
      <c r="B104" s="437"/>
      <c r="C104" s="437"/>
      <c r="D104" s="437"/>
      <c r="E104" s="437"/>
      <c r="F104" s="437"/>
      <c r="G104" s="437"/>
      <c r="H104" s="437"/>
      <c r="I104" s="437"/>
      <c r="J104" s="437"/>
    </row>
    <row r="105" spans="1:10" s="456" customFormat="1" x14ac:dyDescent="0.25">
      <c r="A105" s="437"/>
      <c r="B105" s="437"/>
      <c r="C105" s="437"/>
      <c r="D105" s="437"/>
      <c r="E105" s="437"/>
      <c r="F105" s="437"/>
      <c r="G105" s="437"/>
      <c r="H105" s="437"/>
      <c r="I105" s="437"/>
      <c r="J105" s="437"/>
    </row>
    <row r="106" spans="1:10" s="456" customFormat="1" x14ac:dyDescent="0.25">
      <c r="A106" s="437"/>
      <c r="B106" s="437"/>
      <c r="C106" s="437"/>
      <c r="D106" s="437"/>
      <c r="E106" s="437"/>
      <c r="F106" s="437"/>
      <c r="G106" s="437"/>
      <c r="H106" s="437"/>
      <c r="I106" s="437"/>
      <c r="J106" s="437"/>
    </row>
    <row r="107" spans="1:10" s="456" customFormat="1" x14ac:dyDescent="0.25">
      <c r="A107" s="437"/>
      <c r="B107" s="437"/>
      <c r="C107" s="437"/>
      <c r="D107" s="437"/>
      <c r="E107" s="437"/>
      <c r="F107" s="437"/>
      <c r="G107" s="437"/>
      <c r="H107" s="437"/>
      <c r="I107" s="437"/>
      <c r="J107" s="437"/>
    </row>
    <row r="108" spans="1:10" s="456" customFormat="1" x14ac:dyDescent="0.25">
      <c r="A108" s="437"/>
      <c r="B108" s="437"/>
      <c r="C108" s="437"/>
      <c r="D108" s="437"/>
      <c r="E108" s="437"/>
      <c r="F108" s="437"/>
      <c r="G108" s="437"/>
      <c r="H108" s="437"/>
      <c r="I108" s="437"/>
      <c r="J108" s="437"/>
    </row>
    <row r="109" spans="1:10" s="456" customFormat="1" x14ac:dyDescent="0.25">
      <c r="A109" s="437"/>
      <c r="B109" s="437"/>
      <c r="C109" s="437"/>
      <c r="D109" s="437"/>
      <c r="E109" s="437"/>
      <c r="F109" s="437"/>
      <c r="G109" s="437"/>
      <c r="H109" s="437"/>
      <c r="I109" s="437"/>
      <c r="J109" s="437"/>
    </row>
    <row r="110" spans="1:10" s="456" customFormat="1" x14ac:dyDescent="0.25">
      <c r="A110" s="437"/>
      <c r="B110" s="437"/>
      <c r="C110" s="437"/>
      <c r="D110" s="437"/>
      <c r="E110" s="437"/>
      <c r="F110" s="437"/>
      <c r="G110" s="437"/>
      <c r="H110" s="437"/>
      <c r="I110" s="437"/>
      <c r="J110" s="437"/>
    </row>
    <row r="111" spans="1:10" s="456" customFormat="1" x14ac:dyDescent="0.25">
      <c r="A111" s="437"/>
      <c r="B111" s="437"/>
      <c r="C111" s="437"/>
      <c r="D111" s="437"/>
      <c r="E111" s="437"/>
      <c r="F111" s="437"/>
      <c r="G111" s="437"/>
      <c r="H111" s="437"/>
      <c r="I111" s="437"/>
      <c r="J111" s="437"/>
    </row>
    <row r="112" spans="1:10" s="456" customFormat="1" x14ac:dyDescent="0.25">
      <c r="A112" s="437"/>
      <c r="B112" s="437"/>
      <c r="C112" s="437"/>
      <c r="D112" s="437"/>
      <c r="E112" s="437"/>
      <c r="F112" s="437"/>
      <c r="G112" s="437"/>
      <c r="H112" s="437"/>
      <c r="I112" s="437"/>
      <c r="J112" s="437"/>
    </row>
    <row r="113" spans="1:10" s="456" customFormat="1" x14ac:dyDescent="0.25">
      <c r="A113" s="437"/>
      <c r="B113" s="437"/>
      <c r="C113" s="437"/>
      <c r="D113" s="437"/>
      <c r="E113" s="437"/>
      <c r="F113" s="437"/>
      <c r="G113" s="437"/>
      <c r="H113" s="437"/>
      <c r="I113" s="437"/>
      <c r="J113" s="437"/>
    </row>
    <row r="114" spans="1:10" s="456" customFormat="1" x14ac:dyDescent="0.25">
      <c r="A114" s="437"/>
      <c r="B114" s="437"/>
      <c r="C114" s="437"/>
      <c r="D114" s="437"/>
      <c r="E114" s="437"/>
      <c r="F114" s="437"/>
      <c r="G114" s="437"/>
      <c r="H114" s="437"/>
      <c r="I114" s="437"/>
      <c r="J114" s="437"/>
    </row>
    <row r="115" spans="1:10" s="456" customFormat="1" x14ac:dyDescent="0.25">
      <c r="A115" s="437"/>
      <c r="B115" s="437"/>
      <c r="C115" s="437"/>
      <c r="D115" s="437"/>
      <c r="E115" s="437"/>
      <c r="F115" s="437"/>
      <c r="G115" s="437"/>
      <c r="H115" s="437"/>
      <c r="I115" s="437"/>
      <c r="J115" s="437"/>
    </row>
    <row r="116" spans="1:10" s="456" customFormat="1" x14ac:dyDescent="0.25">
      <c r="A116" s="437"/>
      <c r="B116" s="437"/>
      <c r="C116" s="437"/>
      <c r="D116" s="437"/>
      <c r="E116" s="437"/>
      <c r="F116" s="437"/>
      <c r="G116" s="437"/>
      <c r="H116" s="437"/>
      <c r="I116" s="437"/>
      <c r="J116" s="437"/>
    </row>
    <row r="117" spans="1:10" s="456" customFormat="1" x14ac:dyDescent="0.25">
      <c r="A117" s="437"/>
      <c r="B117" s="437"/>
      <c r="C117" s="437"/>
      <c r="D117" s="437"/>
      <c r="E117" s="437"/>
      <c r="F117" s="437"/>
      <c r="G117" s="437"/>
      <c r="H117" s="437"/>
      <c r="I117" s="437"/>
      <c r="J117" s="437"/>
    </row>
    <row r="118" spans="1:10" s="456" customFormat="1" x14ac:dyDescent="0.25">
      <c r="A118" s="437"/>
      <c r="B118" s="437"/>
      <c r="C118" s="437"/>
      <c r="D118" s="437"/>
      <c r="E118" s="437"/>
      <c r="F118" s="437"/>
      <c r="G118" s="437"/>
      <c r="H118" s="437"/>
      <c r="I118" s="437"/>
      <c r="J118" s="437"/>
    </row>
    <row r="119" spans="1:10" s="456" customFormat="1" x14ac:dyDescent="0.25">
      <c r="A119" s="437"/>
      <c r="B119" s="437"/>
      <c r="C119" s="437"/>
      <c r="D119" s="437"/>
      <c r="E119" s="437"/>
      <c r="F119" s="437"/>
      <c r="G119" s="437"/>
      <c r="H119" s="437"/>
      <c r="I119" s="437"/>
      <c r="J119" s="437"/>
    </row>
    <row r="120" spans="1:10" s="456" customFormat="1" x14ac:dyDescent="0.25">
      <c r="A120" s="437"/>
      <c r="B120" s="437"/>
      <c r="C120" s="437"/>
      <c r="D120" s="437"/>
      <c r="E120" s="437"/>
      <c r="F120" s="437"/>
      <c r="G120" s="437"/>
      <c r="H120" s="437"/>
      <c r="I120" s="437"/>
      <c r="J120" s="437"/>
    </row>
    <row r="121" spans="1:10" s="456" customFormat="1" x14ac:dyDescent="0.25">
      <c r="A121" s="437"/>
      <c r="B121" s="437"/>
      <c r="C121" s="437"/>
      <c r="D121" s="437"/>
      <c r="E121" s="437"/>
      <c r="F121" s="437"/>
      <c r="G121" s="437"/>
      <c r="H121" s="437"/>
      <c r="I121" s="437"/>
      <c r="J121" s="437"/>
    </row>
    <row r="122" spans="1:10" s="456" customFormat="1" x14ac:dyDescent="0.25">
      <c r="A122" s="437"/>
      <c r="B122" s="437"/>
      <c r="C122" s="437"/>
      <c r="D122" s="437"/>
      <c r="E122" s="437"/>
      <c r="F122" s="437"/>
      <c r="G122" s="437"/>
      <c r="H122" s="437"/>
      <c r="I122" s="437"/>
      <c r="J122" s="437"/>
    </row>
    <row r="123" spans="1:10" s="456" customFormat="1" x14ac:dyDescent="0.25">
      <c r="A123" s="437"/>
      <c r="B123" s="437"/>
      <c r="C123" s="437"/>
      <c r="D123" s="437"/>
      <c r="E123" s="437"/>
      <c r="F123" s="437"/>
      <c r="G123" s="437"/>
      <c r="H123" s="437"/>
      <c r="I123" s="437"/>
      <c r="J123" s="437"/>
    </row>
    <row r="124" spans="1:10" s="456" customFormat="1" x14ac:dyDescent="0.25">
      <c r="A124" s="437"/>
      <c r="B124" s="437"/>
      <c r="C124" s="437"/>
      <c r="D124" s="437"/>
      <c r="E124" s="437"/>
      <c r="F124" s="437"/>
      <c r="G124" s="437"/>
      <c r="H124" s="437"/>
      <c r="I124" s="437"/>
      <c r="J124" s="437"/>
    </row>
    <row r="125" spans="1:10" s="456" customFormat="1" x14ac:dyDescent="0.25">
      <c r="A125" s="437"/>
      <c r="B125" s="437"/>
      <c r="C125" s="437"/>
      <c r="D125" s="437"/>
      <c r="E125" s="437"/>
      <c r="F125" s="437"/>
      <c r="G125" s="437"/>
      <c r="H125" s="437"/>
      <c r="I125" s="437"/>
      <c r="J125" s="437"/>
    </row>
    <row r="126" spans="1:10" s="456" customFormat="1" x14ac:dyDescent="0.25">
      <c r="A126" s="437"/>
      <c r="B126" s="437"/>
      <c r="C126" s="437"/>
      <c r="D126" s="437"/>
      <c r="E126" s="437"/>
      <c r="F126" s="437"/>
      <c r="G126" s="437"/>
      <c r="H126" s="437"/>
      <c r="I126" s="437"/>
      <c r="J126" s="437"/>
    </row>
    <row r="127" spans="1:10" s="456" customFormat="1" x14ac:dyDescent="0.25">
      <c r="A127" s="437"/>
      <c r="B127" s="437"/>
      <c r="C127" s="437"/>
      <c r="D127" s="437"/>
      <c r="E127" s="437"/>
      <c r="F127" s="437"/>
      <c r="G127" s="437"/>
      <c r="H127" s="437"/>
      <c r="I127" s="437"/>
      <c r="J127" s="437"/>
    </row>
    <row r="128" spans="1:10" s="456" customFormat="1" x14ac:dyDescent="0.25">
      <c r="A128" s="437"/>
      <c r="B128" s="437"/>
      <c r="C128" s="437"/>
      <c r="D128" s="437"/>
      <c r="E128" s="437"/>
      <c r="F128" s="437"/>
      <c r="G128" s="437"/>
      <c r="H128" s="437"/>
      <c r="I128" s="437"/>
      <c r="J128" s="437"/>
    </row>
    <row r="129" spans="1:10" s="456" customFormat="1" x14ac:dyDescent="0.25">
      <c r="A129" s="437"/>
      <c r="B129" s="437"/>
      <c r="C129" s="437"/>
      <c r="D129" s="437"/>
      <c r="E129" s="437"/>
      <c r="F129" s="437"/>
      <c r="G129" s="437"/>
      <c r="H129" s="437"/>
      <c r="I129" s="437"/>
      <c r="J129" s="437"/>
    </row>
    <row r="130" spans="1:10" s="456" customFormat="1" x14ac:dyDescent="0.25">
      <c r="A130" s="437"/>
      <c r="B130" s="437"/>
      <c r="C130" s="437"/>
      <c r="D130" s="437"/>
      <c r="E130" s="437"/>
      <c r="F130" s="437"/>
      <c r="G130" s="437"/>
      <c r="H130" s="437"/>
      <c r="I130" s="437"/>
      <c r="J130" s="437"/>
    </row>
    <row r="131" spans="1:10" s="456" customFormat="1" x14ac:dyDescent="0.25">
      <c r="A131" s="437"/>
      <c r="B131" s="437"/>
      <c r="C131" s="437"/>
      <c r="D131" s="437"/>
      <c r="E131" s="437"/>
      <c r="F131" s="437"/>
      <c r="G131" s="437"/>
      <c r="H131" s="437"/>
      <c r="I131" s="437"/>
      <c r="J131" s="437"/>
    </row>
    <row r="132" spans="1:10" s="456" customFormat="1" x14ac:dyDescent="0.25">
      <c r="A132" s="437"/>
      <c r="B132" s="437"/>
      <c r="C132" s="437"/>
      <c r="D132" s="437"/>
      <c r="E132" s="437"/>
      <c r="F132" s="437"/>
      <c r="G132" s="437"/>
      <c r="H132" s="437"/>
      <c r="I132" s="437"/>
      <c r="J132" s="437"/>
    </row>
    <row r="133" spans="1:10" s="456" customFormat="1" x14ac:dyDescent="0.25">
      <c r="A133" s="437"/>
      <c r="B133" s="437"/>
      <c r="C133" s="437"/>
      <c r="D133" s="437"/>
      <c r="E133" s="437"/>
      <c r="F133" s="437"/>
      <c r="G133" s="437"/>
      <c r="H133" s="437"/>
      <c r="I133" s="437"/>
      <c r="J133" s="437"/>
    </row>
    <row r="134" spans="1:10" s="456" customFormat="1" x14ac:dyDescent="0.25">
      <c r="A134" s="437"/>
      <c r="B134" s="437"/>
      <c r="C134" s="437"/>
      <c r="D134" s="437"/>
      <c r="E134" s="437"/>
      <c r="F134" s="437"/>
      <c r="G134" s="437"/>
      <c r="H134" s="437"/>
      <c r="I134" s="437"/>
      <c r="J134" s="437"/>
    </row>
    <row r="135" spans="1:10" s="456" customFormat="1" x14ac:dyDescent="0.25">
      <c r="A135" s="437"/>
      <c r="B135" s="437"/>
      <c r="C135" s="437"/>
      <c r="D135" s="437"/>
      <c r="E135" s="437"/>
      <c r="F135" s="437"/>
      <c r="G135" s="437"/>
      <c r="H135" s="437"/>
      <c r="I135" s="437"/>
      <c r="J135" s="437"/>
    </row>
    <row r="136" spans="1:10" s="456" customFormat="1" x14ac:dyDescent="0.25">
      <c r="A136" s="437"/>
      <c r="B136" s="437"/>
      <c r="C136" s="437"/>
      <c r="D136" s="437"/>
      <c r="E136" s="437"/>
      <c r="F136" s="437"/>
      <c r="G136" s="437"/>
      <c r="H136" s="437"/>
      <c r="I136" s="437"/>
      <c r="J136" s="437"/>
    </row>
    <row r="137" spans="1:10" s="456" customFormat="1" x14ac:dyDescent="0.25">
      <c r="A137" s="437"/>
      <c r="B137" s="437"/>
      <c r="C137" s="437"/>
      <c r="D137" s="437"/>
      <c r="E137" s="437"/>
      <c r="F137" s="437"/>
      <c r="G137" s="437"/>
      <c r="H137" s="437"/>
      <c r="I137" s="437"/>
      <c r="J137" s="437"/>
    </row>
    <row r="138" spans="1:10" s="456" customFormat="1" x14ac:dyDescent="0.25">
      <c r="A138" s="437"/>
      <c r="B138" s="437"/>
      <c r="C138" s="437"/>
      <c r="D138" s="437"/>
      <c r="E138" s="437"/>
      <c r="F138" s="437"/>
      <c r="G138" s="437"/>
      <c r="H138" s="437"/>
      <c r="I138" s="437"/>
      <c r="J138" s="437"/>
    </row>
    <row r="139" spans="1:10" s="456" customFormat="1" x14ac:dyDescent="0.25">
      <c r="A139" s="437"/>
      <c r="B139" s="437"/>
      <c r="C139" s="437"/>
      <c r="D139" s="437"/>
      <c r="E139" s="437"/>
      <c r="F139" s="437"/>
      <c r="G139" s="437"/>
      <c r="H139" s="437"/>
      <c r="I139" s="437"/>
      <c r="J139" s="437"/>
    </row>
    <row r="140" spans="1:10" s="456" customFormat="1" x14ac:dyDescent="0.25">
      <c r="A140" s="437"/>
      <c r="B140" s="437"/>
      <c r="C140" s="437"/>
      <c r="D140" s="437"/>
      <c r="E140" s="437"/>
      <c r="F140" s="437"/>
      <c r="G140" s="437"/>
      <c r="H140" s="437"/>
      <c r="I140" s="437"/>
      <c r="J140" s="437"/>
    </row>
    <row r="141" spans="1:10" s="456" customFormat="1" x14ac:dyDescent="0.25">
      <c r="A141" s="437"/>
      <c r="B141" s="437"/>
      <c r="C141" s="437"/>
      <c r="D141" s="437"/>
      <c r="E141" s="437"/>
      <c r="F141" s="437"/>
      <c r="G141" s="437"/>
      <c r="H141" s="437"/>
      <c r="I141" s="437"/>
      <c r="J141" s="437"/>
    </row>
    <row r="142" spans="1:10" s="456" customFormat="1" x14ac:dyDescent="0.25">
      <c r="A142" s="437"/>
      <c r="B142" s="437"/>
      <c r="C142" s="437"/>
      <c r="D142" s="437"/>
      <c r="E142" s="437"/>
      <c r="F142" s="437"/>
      <c r="G142" s="437"/>
      <c r="H142" s="437"/>
      <c r="I142" s="437"/>
      <c r="J142" s="437"/>
    </row>
    <row r="143" spans="1:10" s="456" customFormat="1" x14ac:dyDescent="0.25">
      <c r="A143" s="437"/>
      <c r="B143" s="437"/>
      <c r="C143" s="437"/>
      <c r="D143" s="437"/>
      <c r="E143" s="437"/>
      <c r="F143" s="437"/>
      <c r="G143" s="437"/>
      <c r="H143" s="437"/>
      <c r="I143" s="437"/>
      <c r="J143" s="437"/>
    </row>
    <row r="144" spans="1:10" s="456" customFormat="1" x14ac:dyDescent="0.25">
      <c r="A144" s="437"/>
      <c r="B144" s="437"/>
      <c r="C144" s="437"/>
      <c r="D144" s="437"/>
      <c r="E144" s="437"/>
      <c r="F144" s="437"/>
      <c r="G144" s="437"/>
      <c r="H144" s="437"/>
      <c r="I144" s="437"/>
      <c r="J144" s="437"/>
    </row>
    <row r="145" spans="1:10" s="456" customFormat="1" x14ac:dyDescent="0.25">
      <c r="A145" s="437"/>
      <c r="B145" s="437"/>
      <c r="C145" s="437"/>
      <c r="D145" s="437"/>
      <c r="E145" s="437"/>
      <c r="F145" s="437"/>
      <c r="G145" s="437"/>
      <c r="H145" s="437"/>
      <c r="I145" s="437"/>
      <c r="J145" s="437"/>
    </row>
    <row r="146" spans="1:10" s="456" customFormat="1" x14ac:dyDescent="0.25">
      <c r="A146" s="437"/>
      <c r="B146" s="437"/>
      <c r="C146" s="437"/>
      <c r="D146" s="437"/>
      <c r="E146" s="437"/>
      <c r="F146" s="437"/>
      <c r="G146" s="437"/>
      <c r="H146" s="437"/>
      <c r="I146" s="437"/>
      <c r="J146" s="437"/>
    </row>
    <row r="147" spans="1:10" s="456" customFormat="1" x14ac:dyDescent="0.25">
      <c r="A147" s="437"/>
      <c r="B147" s="437"/>
      <c r="C147" s="437"/>
      <c r="D147" s="437"/>
      <c r="E147" s="437"/>
      <c r="F147" s="437"/>
      <c r="G147" s="437"/>
      <c r="H147" s="437"/>
      <c r="I147" s="437"/>
      <c r="J147" s="437"/>
    </row>
    <row r="148" spans="1:10" s="456" customFormat="1" x14ac:dyDescent="0.25">
      <c r="A148" s="437"/>
      <c r="B148" s="437"/>
      <c r="C148" s="437"/>
      <c r="D148" s="437"/>
      <c r="E148" s="437"/>
      <c r="F148" s="437"/>
      <c r="G148" s="437"/>
      <c r="H148" s="437"/>
      <c r="I148" s="437"/>
      <c r="J148" s="437"/>
    </row>
    <row r="149" spans="1:10" s="456" customFormat="1" x14ac:dyDescent="0.25">
      <c r="A149" s="437"/>
      <c r="B149" s="437"/>
      <c r="C149" s="437"/>
      <c r="D149" s="437"/>
      <c r="E149" s="437"/>
      <c r="F149" s="437"/>
      <c r="G149" s="437"/>
      <c r="H149" s="437"/>
      <c r="I149" s="437"/>
      <c r="J149" s="437"/>
    </row>
    <row r="150" spans="1:10" s="456" customFormat="1" x14ac:dyDescent="0.25">
      <c r="A150" s="437"/>
      <c r="B150" s="437"/>
      <c r="C150" s="437"/>
      <c r="D150" s="437"/>
      <c r="E150" s="437"/>
      <c r="F150" s="437"/>
      <c r="G150" s="437"/>
      <c r="H150" s="437"/>
      <c r="I150" s="437"/>
      <c r="J150" s="437"/>
    </row>
    <row r="151" spans="1:10" s="456" customFormat="1" x14ac:dyDescent="0.25">
      <c r="A151" s="437"/>
      <c r="B151" s="437"/>
      <c r="C151" s="437"/>
      <c r="D151" s="437"/>
      <c r="E151" s="437"/>
      <c r="F151" s="437"/>
      <c r="G151" s="437"/>
      <c r="H151" s="437"/>
      <c r="I151" s="437"/>
      <c r="J151" s="437"/>
    </row>
    <row r="152" spans="1:10" s="456" customFormat="1" x14ac:dyDescent="0.25">
      <c r="A152" s="437"/>
      <c r="B152" s="437"/>
      <c r="C152" s="437"/>
      <c r="D152" s="437"/>
      <c r="E152" s="437"/>
      <c r="F152" s="437"/>
      <c r="G152" s="437"/>
      <c r="H152" s="437"/>
      <c r="I152" s="437"/>
      <c r="J152" s="437"/>
    </row>
    <row r="153" spans="1:10" x14ac:dyDescent="0.25">
      <c r="A153" s="437"/>
      <c r="B153" s="437"/>
      <c r="C153" s="437"/>
      <c r="D153" s="437"/>
      <c r="E153" s="437"/>
      <c r="F153" s="437"/>
      <c r="G153" s="437"/>
      <c r="H153" s="437"/>
      <c r="I153" s="437"/>
      <c r="J153" s="437"/>
    </row>
    <row r="154" spans="1:10" x14ac:dyDescent="0.25">
      <c r="A154" s="437"/>
      <c r="B154" s="437"/>
      <c r="C154" s="437"/>
      <c r="D154" s="437"/>
      <c r="E154" s="437"/>
      <c r="F154" s="437"/>
      <c r="G154" s="437"/>
      <c r="H154" s="437"/>
      <c r="I154" s="437"/>
      <c r="J154" s="437"/>
    </row>
    <row r="155" spans="1:10" x14ac:dyDescent="0.25">
      <c r="A155" s="437"/>
      <c r="B155" s="437"/>
      <c r="C155" s="437"/>
      <c r="D155" s="437"/>
      <c r="E155" s="437"/>
      <c r="F155" s="437"/>
      <c r="G155" s="437"/>
      <c r="H155" s="437"/>
      <c r="I155" s="437"/>
      <c r="J155" s="437"/>
    </row>
    <row r="156" spans="1:10" s="456" customFormat="1" x14ac:dyDescent="0.25">
      <c r="A156" s="437"/>
      <c r="B156" s="437"/>
      <c r="C156" s="437"/>
      <c r="D156" s="437"/>
      <c r="E156" s="437"/>
      <c r="F156" s="437"/>
      <c r="G156" s="437"/>
      <c r="H156" s="437"/>
      <c r="I156" s="437"/>
      <c r="J156" s="437"/>
    </row>
    <row r="157" spans="1:10" s="456" customFormat="1" x14ac:dyDescent="0.25">
      <c r="A157" s="437"/>
      <c r="B157" s="437"/>
      <c r="C157" s="437"/>
      <c r="D157" s="437"/>
      <c r="E157" s="437"/>
      <c r="F157" s="437"/>
      <c r="G157" s="437"/>
      <c r="H157" s="437"/>
      <c r="I157" s="437"/>
      <c r="J157" s="437"/>
    </row>
    <row r="158" spans="1:10" s="456" customFormat="1" x14ac:dyDescent="0.25">
      <c r="A158" s="437"/>
      <c r="B158" s="437"/>
      <c r="C158" s="437"/>
      <c r="D158" s="437"/>
      <c r="E158" s="437"/>
      <c r="F158" s="437"/>
      <c r="G158" s="437"/>
      <c r="H158" s="437"/>
      <c r="I158" s="437"/>
      <c r="J158" s="437"/>
    </row>
    <row r="159" spans="1:10" s="456" customFormat="1" x14ac:dyDescent="0.25">
      <c r="A159" s="437"/>
      <c r="B159" s="437"/>
      <c r="C159" s="437"/>
      <c r="D159" s="437"/>
      <c r="E159" s="437"/>
      <c r="F159" s="437"/>
      <c r="G159" s="437"/>
      <c r="H159" s="437"/>
      <c r="I159" s="437"/>
      <c r="J159" s="437"/>
    </row>
    <row r="160" spans="1:10" s="456" customFormat="1" x14ac:dyDescent="0.25">
      <c r="A160" s="437"/>
      <c r="B160" s="437"/>
      <c r="C160" s="437"/>
      <c r="D160" s="437"/>
      <c r="E160" s="437"/>
      <c r="F160" s="437"/>
      <c r="G160" s="437"/>
      <c r="H160" s="437"/>
      <c r="I160" s="437"/>
      <c r="J160" s="437"/>
    </row>
    <row r="161" spans="1:10" s="456" customFormat="1" x14ac:dyDescent="0.25">
      <c r="A161" s="437"/>
      <c r="B161" s="437"/>
      <c r="C161" s="437"/>
      <c r="D161" s="437"/>
      <c r="E161" s="437"/>
      <c r="F161" s="437"/>
      <c r="G161" s="437"/>
      <c r="H161" s="437"/>
      <c r="I161" s="437"/>
      <c r="J161" s="437"/>
    </row>
    <row r="162" spans="1:10" s="456" customFormat="1" x14ac:dyDescent="0.25">
      <c r="A162" s="437"/>
      <c r="B162" s="437"/>
      <c r="C162" s="437"/>
      <c r="D162" s="437"/>
      <c r="E162" s="437"/>
      <c r="F162" s="437"/>
      <c r="G162" s="437"/>
      <c r="H162" s="437"/>
      <c r="I162" s="437"/>
      <c r="J162" s="437"/>
    </row>
    <row r="163" spans="1:10" s="456" customFormat="1" x14ac:dyDescent="0.25">
      <c r="A163" s="437"/>
      <c r="B163" s="437"/>
      <c r="C163" s="437"/>
      <c r="D163" s="437"/>
      <c r="E163" s="437"/>
      <c r="F163" s="437"/>
      <c r="G163" s="437"/>
      <c r="H163" s="437"/>
      <c r="I163" s="437"/>
      <c r="J163" s="437"/>
    </row>
    <row r="164" spans="1:10" s="456" customFormat="1" x14ac:dyDescent="0.25">
      <c r="A164" s="437"/>
      <c r="B164" s="437"/>
      <c r="C164" s="437"/>
      <c r="D164" s="437"/>
      <c r="E164" s="437"/>
      <c r="F164" s="437"/>
      <c r="G164" s="437"/>
      <c r="H164" s="437"/>
      <c r="I164" s="437"/>
      <c r="J164" s="437"/>
    </row>
    <row r="165" spans="1:10" s="456" customFormat="1" x14ac:dyDescent="0.25">
      <c r="A165" s="437"/>
      <c r="B165" s="437"/>
      <c r="C165" s="437"/>
      <c r="D165" s="437"/>
      <c r="E165" s="437"/>
      <c r="F165" s="437"/>
      <c r="G165" s="437"/>
      <c r="H165" s="437"/>
      <c r="I165" s="437"/>
      <c r="J165" s="437"/>
    </row>
    <row r="166" spans="1:10" s="456" customFormat="1" x14ac:dyDescent="0.25">
      <c r="A166" s="437"/>
      <c r="B166" s="437"/>
      <c r="C166" s="437"/>
      <c r="D166" s="437"/>
      <c r="E166" s="437"/>
      <c r="F166" s="437"/>
      <c r="G166" s="437"/>
      <c r="H166" s="437"/>
      <c r="I166" s="437"/>
      <c r="J166" s="437"/>
    </row>
    <row r="167" spans="1:10" s="456" customFormat="1" x14ac:dyDescent="0.25">
      <c r="A167" s="437"/>
      <c r="B167" s="437"/>
      <c r="C167" s="437"/>
      <c r="D167" s="437"/>
      <c r="E167" s="437"/>
      <c r="F167" s="437"/>
      <c r="G167" s="437"/>
      <c r="H167" s="437"/>
      <c r="I167" s="437"/>
      <c r="J167" s="437"/>
    </row>
    <row r="168" spans="1:10" s="456" customFormat="1" x14ac:dyDescent="0.25">
      <c r="A168" s="437"/>
      <c r="B168" s="437"/>
      <c r="C168" s="437"/>
      <c r="D168" s="437"/>
      <c r="E168" s="437"/>
      <c r="F168" s="437"/>
      <c r="G168" s="437"/>
      <c r="H168" s="437"/>
      <c r="I168" s="437"/>
      <c r="J168" s="437"/>
    </row>
    <row r="169" spans="1:10" s="456" customFormat="1" x14ac:dyDescent="0.25">
      <c r="A169" s="437"/>
      <c r="B169" s="437"/>
      <c r="C169" s="437"/>
      <c r="D169" s="437"/>
      <c r="E169" s="437"/>
      <c r="F169" s="437"/>
      <c r="G169" s="437"/>
      <c r="H169" s="437"/>
      <c r="I169" s="437"/>
      <c r="J169" s="437"/>
    </row>
    <row r="170" spans="1:10" s="456" customFormat="1" x14ac:dyDescent="0.25">
      <c r="A170" s="437"/>
      <c r="B170" s="437"/>
      <c r="C170" s="437"/>
      <c r="D170" s="437"/>
      <c r="E170" s="437"/>
      <c r="F170" s="437"/>
      <c r="G170" s="437"/>
      <c r="H170" s="437"/>
      <c r="I170" s="437"/>
      <c r="J170" s="437"/>
    </row>
    <row r="171" spans="1:10" s="456" customFormat="1" x14ac:dyDescent="0.25">
      <c r="A171" s="437"/>
      <c r="B171" s="437"/>
      <c r="C171" s="437"/>
      <c r="D171" s="437"/>
      <c r="E171" s="437"/>
      <c r="F171" s="437"/>
      <c r="G171" s="437"/>
      <c r="H171" s="437"/>
      <c r="I171" s="437"/>
      <c r="J171" s="437"/>
    </row>
    <row r="172" spans="1:10" s="456" customFormat="1" x14ac:dyDescent="0.25">
      <c r="A172" s="437"/>
      <c r="B172" s="437"/>
      <c r="C172" s="437"/>
      <c r="D172" s="437"/>
      <c r="E172" s="437"/>
      <c r="F172" s="437"/>
      <c r="G172" s="437"/>
      <c r="H172" s="437"/>
      <c r="I172" s="437"/>
      <c r="J172" s="437"/>
    </row>
    <row r="173" spans="1:10" s="456" customFormat="1" x14ac:dyDescent="0.25">
      <c r="A173" s="437"/>
      <c r="B173" s="437"/>
      <c r="C173" s="437"/>
      <c r="D173" s="437"/>
      <c r="E173" s="437"/>
      <c r="F173" s="437"/>
      <c r="G173" s="437"/>
      <c r="H173" s="437"/>
      <c r="I173" s="437"/>
      <c r="J173" s="437"/>
    </row>
    <row r="174" spans="1:10" s="456" customFormat="1" x14ac:dyDescent="0.25">
      <c r="A174" s="437"/>
      <c r="B174" s="437"/>
      <c r="C174" s="437"/>
      <c r="D174" s="437"/>
      <c r="E174" s="437"/>
      <c r="F174" s="437"/>
      <c r="G174" s="437"/>
      <c r="H174" s="437"/>
      <c r="I174" s="437"/>
      <c r="J174" s="437"/>
    </row>
    <row r="175" spans="1:10" s="456" customFormat="1" x14ac:dyDescent="0.25">
      <c r="A175" s="437"/>
      <c r="B175" s="437"/>
      <c r="C175" s="437"/>
      <c r="D175" s="437"/>
      <c r="E175" s="437"/>
      <c r="F175" s="437"/>
      <c r="G175" s="437"/>
      <c r="H175" s="437"/>
      <c r="I175" s="437"/>
      <c r="J175" s="437"/>
    </row>
    <row r="176" spans="1:10" s="456" customFormat="1" x14ac:dyDescent="0.25">
      <c r="A176" s="437"/>
      <c r="B176" s="437"/>
      <c r="C176" s="437"/>
      <c r="D176" s="437"/>
      <c r="E176" s="437"/>
      <c r="F176" s="437"/>
      <c r="G176" s="437"/>
      <c r="H176" s="437"/>
      <c r="I176" s="437"/>
      <c r="J176" s="437"/>
    </row>
    <row r="177" spans="1:10" s="456" customFormat="1" x14ac:dyDescent="0.25">
      <c r="A177" s="437"/>
      <c r="B177" s="437"/>
      <c r="C177" s="437"/>
      <c r="D177" s="437"/>
      <c r="E177" s="437"/>
      <c r="F177" s="437"/>
      <c r="G177" s="437"/>
      <c r="H177" s="437"/>
      <c r="I177" s="437"/>
      <c r="J177" s="437"/>
    </row>
    <row r="178" spans="1:10" s="456" customFormat="1" x14ac:dyDescent="0.25">
      <c r="A178" s="437"/>
      <c r="B178" s="437"/>
      <c r="C178" s="437"/>
      <c r="D178" s="437"/>
      <c r="E178" s="437"/>
      <c r="F178" s="437"/>
      <c r="G178" s="437"/>
      <c r="H178" s="437"/>
      <c r="I178" s="437"/>
      <c r="J178" s="437"/>
    </row>
    <row r="179" spans="1:10" s="456" customFormat="1" x14ac:dyDescent="0.25">
      <c r="A179" s="437"/>
      <c r="B179" s="437"/>
      <c r="C179" s="437"/>
      <c r="D179" s="437"/>
      <c r="E179" s="437"/>
      <c r="F179" s="437"/>
      <c r="G179" s="437"/>
      <c r="H179" s="437"/>
      <c r="I179" s="437"/>
      <c r="J179" s="437"/>
    </row>
    <row r="180" spans="1:10" s="456" customFormat="1" x14ac:dyDescent="0.25">
      <c r="A180" s="437"/>
      <c r="B180" s="437"/>
      <c r="C180" s="437"/>
      <c r="D180" s="437"/>
      <c r="E180" s="437"/>
      <c r="F180" s="437"/>
      <c r="G180" s="437"/>
      <c r="H180" s="437"/>
      <c r="I180" s="437"/>
      <c r="J180" s="437"/>
    </row>
    <row r="181" spans="1:10" s="456" customFormat="1" x14ac:dyDescent="0.25">
      <c r="A181" s="437"/>
      <c r="B181" s="437"/>
      <c r="C181" s="437"/>
      <c r="D181" s="437"/>
      <c r="E181" s="437"/>
      <c r="F181" s="437"/>
      <c r="G181" s="437"/>
      <c r="H181" s="437"/>
      <c r="I181" s="437"/>
      <c r="J181" s="437"/>
    </row>
    <row r="182" spans="1:10" x14ac:dyDescent="0.25">
      <c r="A182" s="437"/>
      <c r="B182" s="437"/>
      <c r="C182" s="437"/>
      <c r="D182" s="437"/>
      <c r="E182" s="437"/>
      <c r="F182" s="437"/>
      <c r="G182" s="437"/>
      <c r="H182" s="437"/>
      <c r="I182" s="437"/>
      <c r="J182" s="437"/>
    </row>
    <row r="183" spans="1:10" x14ac:dyDescent="0.25">
      <c r="A183" s="437"/>
      <c r="B183" s="437"/>
      <c r="C183" s="437"/>
      <c r="D183" s="437"/>
      <c r="E183" s="437"/>
      <c r="F183" s="437"/>
      <c r="G183" s="437"/>
      <c r="H183" s="437"/>
      <c r="I183" s="437"/>
      <c r="J183" s="437"/>
    </row>
    <row r="184" spans="1:10" x14ac:dyDescent="0.25">
      <c r="A184" s="437"/>
      <c r="B184" s="437"/>
      <c r="C184" s="437"/>
      <c r="D184" s="437"/>
      <c r="E184" s="437"/>
      <c r="F184" s="437"/>
      <c r="G184" s="437"/>
      <c r="H184" s="437"/>
      <c r="I184" s="437"/>
      <c r="J184" s="437"/>
    </row>
    <row r="185" spans="1:10" x14ac:dyDescent="0.25">
      <c r="A185" s="437"/>
      <c r="B185" s="437"/>
      <c r="C185" s="437"/>
      <c r="D185" s="437"/>
      <c r="E185" s="437"/>
      <c r="F185" s="437"/>
      <c r="G185" s="437"/>
      <c r="H185" s="437"/>
      <c r="I185" s="437"/>
      <c r="J185" s="437"/>
    </row>
    <row r="186" spans="1:10" x14ac:dyDescent="0.25">
      <c r="A186" s="437"/>
      <c r="B186" s="437"/>
      <c r="C186" s="437"/>
      <c r="D186" s="437"/>
      <c r="E186" s="437"/>
      <c r="F186" s="437"/>
      <c r="G186" s="437"/>
      <c r="H186" s="437"/>
      <c r="I186" s="437"/>
      <c r="J186" s="437"/>
    </row>
    <row r="187" spans="1:10" x14ac:dyDescent="0.25">
      <c r="A187" s="437"/>
      <c r="B187" s="437"/>
      <c r="C187" s="437"/>
      <c r="D187" s="437"/>
      <c r="E187" s="437"/>
      <c r="F187" s="437"/>
      <c r="G187" s="437"/>
      <c r="H187" s="437"/>
      <c r="I187" s="437"/>
      <c r="J187" s="437"/>
    </row>
    <row r="188" spans="1:10" s="428" customFormat="1" ht="36" customHeight="1" x14ac:dyDescent="0.25">
      <c r="A188" s="440" t="s">
        <v>1</v>
      </c>
      <c r="B188" s="441"/>
      <c r="C188" s="451"/>
      <c r="D188" s="440"/>
      <c r="E188" s="441">
        <f t="shared" ref="E188:J188" si="0">SUM(E13:E187)</f>
        <v>0</v>
      </c>
      <c r="F188" s="441">
        <f t="shared" si="0"/>
        <v>0</v>
      </c>
      <c r="G188" s="441">
        <f t="shared" si="0"/>
        <v>0</v>
      </c>
      <c r="H188" s="441">
        <f t="shared" si="0"/>
        <v>0</v>
      </c>
      <c r="I188" s="441">
        <f t="shared" si="0"/>
        <v>0</v>
      </c>
      <c r="J188" s="441">
        <f t="shared" si="0"/>
        <v>0</v>
      </c>
    </row>
    <row r="189" spans="1:10" x14ac:dyDescent="0.25">
      <c r="A189" s="467" t="s">
        <v>539</v>
      </c>
    </row>
    <row r="190" spans="1:10" x14ac:dyDescent="0.25">
      <c r="A190" s="467" t="s">
        <v>540</v>
      </c>
    </row>
  </sheetData>
  <mergeCells count="8">
    <mergeCell ref="A3:I5"/>
    <mergeCell ref="E11:J11"/>
    <mergeCell ref="A6:B6"/>
    <mergeCell ref="C6:E6"/>
    <mergeCell ref="A7:B7"/>
    <mergeCell ref="C7:E7"/>
    <mergeCell ref="A8:B8"/>
    <mergeCell ref="C8:E8"/>
  </mergeCells>
  <pageMargins left="0.70866141732283472" right="0.70866141732283472" top="0.78740157480314965" bottom="0.78740157480314965"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1"/>
  <dimension ref="A1:N71"/>
  <sheetViews>
    <sheetView zoomScaleNormal="100" workbookViewId="0">
      <selection activeCell="C5" sqref="C5:D5"/>
    </sheetView>
  </sheetViews>
  <sheetFormatPr baseColWidth="10" defaultColWidth="11.44140625" defaultRowHeight="13.2" x14ac:dyDescent="0.25"/>
  <cols>
    <col min="1" max="1" width="3.44140625" customWidth="1"/>
    <col min="2" max="2" width="86.5546875" customWidth="1"/>
    <col min="3" max="4" width="16.44140625" style="120" customWidth="1"/>
    <col min="5" max="5" width="20" bestFit="1" customWidth="1"/>
    <col min="9" max="9" width="11.44140625" style="118"/>
  </cols>
  <sheetData>
    <row r="1" spans="1:14" s="9" customFormat="1" ht="15.6" x14ac:dyDescent="0.3">
      <c r="A1" s="1" t="s">
        <v>168</v>
      </c>
      <c r="B1" s="20"/>
      <c r="C1" s="203"/>
      <c r="D1" s="36" t="s">
        <v>361</v>
      </c>
      <c r="I1" s="118"/>
      <c r="J1"/>
      <c r="K1"/>
      <c r="L1"/>
      <c r="M1"/>
      <c r="N1"/>
    </row>
    <row r="2" spans="1:14" s="9" customFormat="1" ht="15.6" x14ac:dyDescent="0.3">
      <c r="A2" s="1"/>
      <c r="B2" s="20"/>
      <c r="C2" s="203"/>
      <c r="D2" s="36"/>
      <c r="I2" s="118"/>
      <c r="J2"/>
      <c r="K2"/>
      <c r="L2"/>
      <c r="M2"/>
      <c r="N2"/>
    </row>
    <row r="3" spans="1:14" s="2" customFormat="1" ht="20.25" customHeight="1" x14ac:dyDescent="0.35">
      <c r="A3" s="10" t="s">
        <v>139</v>
      </c>
      <c r="C3" s="481">
        <v>2024</v>
      </c>
      <c r="D3" s="586"/>
      <c r="E3" s="122"/>
      <c r="I3" s="119"/>
      <c r="J3"/>
      <c r="K3"/>
      <c r="L3"/>
      <c r="M3"/>
      <c r="N3"/>
    </row>
    <row r="4" spans="1:14" s="2" customFormat="1" ht="20.25" customHeight="1" x14ac:dyDescent="0.35">
      <c r="A4" s="12" t="s">
        <v>140</v>
      </c>
      <c r="C4" s="492">
        <f>'1 Récapitulation'!E10</f>
        <v>0</v>
      </c>
      <c r="D4" s="587"/>
      <c r="E4" s="122"/>
      <c r="I4" s="119"/>
      <c r="J4"/>
      <c r="K4"/>
      <c r="L4"/>
      <c r="M4"/>
      <c r="N4"/>
    </row>
    <row r="5" spans="1:14" s="2" customFormat="1" ht="20.25" customHeight="1" x14ac:dyDescent="0.35">
      <c r="A5" s="12" t="s">
        <v>141</v>
      </c>
      <c r="C5" s="511"/>
      <c r="D5" s="588"/>
      <c r="E5" s="122"/>
      <c r="I5" s="119"/>
      <c r="J5"/>
      <c r="K5"/>
      <c r="L5"/>
      <c r="M5"/>
      <c r="N5"/>
    </row>
    <row r="6" spans="1:14" s="2" customFormat="1" x14ac:dyDescent="0.25">
      <c r="A6" s="3" t="s">
        <v>358</v>
      </c>
      <c r="C6" s="120"/>
      <c r="D6" s="121"/>
      <c r="I6" s="119"/>
      <c r="J6"/>
      <c r="K6"/>
      <c r="L6"/>
      <c r="M6"/>
      <c r="N6"/>
    </row>
    <row r="7" spans="1:14" s="2" customFormat="1" x14ac:dyDescent="0.25">
      <c r="A7" s="595"/>
      <c r="B7" s="596"/>
      <c r="C7" s="596"/>
      <c r="D7" s="596"/>
      <c r="I7" s="119"/>
      <c r="J7"/>
      <c r="K7"/>
      <c r="L7"/>
      <c r="M7"/>
      <c r="N7"/>
    </row>
    <row r="8" spans="1:14" s="2" customFormat="1" x14ac:dyDescent="0.25">
      <c r="A8" s="595"/>
      <c r="B8" s="596"/>
      <c r="C8" s="596"/>
      <c r="D8" s="596"/>
      <c r="I8" s="118"/>
      <c r="J8"/>
      <c r="K8"/>
      <c r="L8"/>
      <c r="M8"/>
      <c r="N8"/>
    </row>
    <row r="9" spans="1:14" s="2" customFormat="1" x14ac:dyDescent="0.25">
      <c r="C9" s="120"/>
      <c r="D9" s="121"/>
      <c r="I9" s="118"/>
      <c r="J9"/>
      <c r="K9"/>
      <c r="L9"/>
      <c r="M9"/>
      <c r="N9"/>
    </row>
    <row r="10" spans="1:14" s="2" customFormat="1" ht="15.6" x14ac:dyDescent="0.25">
      <c r="A10" s="6" t="s">
        <v>359</v>
      </c>
      <c r="C10" s="123"/>
      <c r="D10" s="123"/>
      <c r="I10" s="118"/>
      <c r="J10"/>
      <c r="K10"/>
      <c r="L10"/>
      <c r="M10"/>
      <c r="N10"/>
    </row>
    <row r="11" spans="1:14" x14ac:dyDescent="0.25">
      <c r="B11" s="38"/>
      <c r="C11" s="124"/>
      <c r="D11" s="202"/>
    </row>
    <row r="12" spans="1:14" x14ac:dyDescent="0.25">
      <c r="A12" s="39" t="s">
        <v>447</v>
      </c>
      <c r="D12" s="203"/>
    </row>
    <row r="13" spans="1:14" x14ac:dyDescent="0.25">
      <c r="A13" s="394" t="s">
        <v>362</v>
      </c>
      <c r="B13" s="236"/>
      <c r="C13" s="125"/>
      <c r="D13" s="204"/>
    </row>
    <row r="14" spans="1:14" x14ac:dyDescent="0.25">
      <c r="A14" s="394" t="s">
        <v>563</v>
      </c>
      <c r="B14" s="236"/>
      <c r="C14" s="125"/>
      <c r="D14" s="205"/>
      <c r="E14" s="401" t="s">
        <v>168</v>
      </c>
      <c r="F14" s="88" t="s">
        <v>450</v>
      </c>
      <c r="G14" s="40"/>
      <c r="H14" s="40"/>
    </row>
    <row r="15" spans="1:14" x14ac:dyDescent="0.25">
      <c r="A15" s="66" t="s">
        <v>363</v>
      </c>
      <c r="B15" s="236"/>
      <c r="C15" s="126">
        <v>84.07</v>
      </c>
      <c r="D15" s="206"/>
      <c r="E15" s="67"/>
      <c r="F15" s="37"/>
      <c r="G15" s="37"/>
      <c r="H15" s="37"/>
      <c r="I15" s="119"/>
    </row>
    <row r="16" spans="1:14" x14ac:dyDescent="0.25">
      <c r="A16" s="65" t="s">
        <v>364</v>
      </c>
      <c r="B16" s="236"/>
      <c r="C16" s="125"/>
      <c r="D16" s="206">
        <f>D14*C15</f>
        <v>0</v>
      </c>
      <c r="E16" s="127"/>
    </row>
    <row r="17" spans="1:14" x14ac:dyDescent="0.25">
      <c r="A17" s="180" t="s">
        <v>564</v>
      </c>
      <c r="B17" s="236"/>
      <c r="C17" s="125"/>
      <c r="D17" s="207"/>
    </row>
    <row r="18" spans="1:14" ht="27" customHeight="1" x14ac:dyDescent="0.25">
      <c r="A18" s="589" t="s">
        <v>451</v>
      </c>
      <c r="B18" s="539"/>
      <c r="C18" s="125"/>
      <c r="D18" s="128">
        <f>SUM(D16:D17)</f>
        <v>0</v>
      </c>
      <c r="M18" s="129"/>
      <c r="N18" s="129"/>
    </row>
    <row r="19" spans="1:14" x14ac:dyDescent="0.25">
      <c r="A19" s="201"/>
      <c r="B19" s="42"/>
      <c r="D19" s="203"/>
    </row>
    <row r="20" spans="1:14" x14ac:dyDescent="0.25">
      <c r="B20" s="42"/>
      <c r="D20" s="203"/>
    </row>
    <row r="21" spans="1:14" x14ac:dyDescent="0.25">
      <c r="A21" s="39" t="s">
        <v>448</v>
      </c>
      <c r="D21" s="203"/>
    </row>
    <row r="22" spans="1:14" x14ac:dyDescent="0.25">
      <c r="A22" s="65" t="s">
        <v>365</v>
      </c>
      <c r="B22" s="236"/>
      <c r="C22" s="125"/>
      <c r="D22" s="207"/>
    </row>
    <row r="23" spans="1:14" x14ac:dyDescent="0.25">
      <c r="A23" s="180" t="s">
        <v>366</v>
      </c>
      <c r="B23" s="236"/>
      <c r="C23" s="125"/>
      <c r="D23" s="208"/>
    </row>
    <row r="24" spans="1:14" x14ac:dyDescent="0.25">
      <c r="A24" s="65" t="s">
        <v>367</v>
      </c>
      <c r="B24" s="236"/>
      <c r="C24" s="125"/>
      <c r="D24" s="206">
        <f>SUM(D22:D23)</f>
        <v>0</v>
      </c>
    </row>
    <row r="25" spans="1:14" ht="27" customHeight="1" x14ac:dyDescent="0.25">
      <c r="A25" s="591" t="s">
        <v>368</v>
      </c>
      <c r="B25" s="539"/>
      <c r="C25" s="125"/>
      <c r="D25" s="207"/>
    </row>
    <row r="26" spans="1:14" x14ac:dyDescent="0.25">
      <c r="A26" s="41" t="s">
        <v>452</v>
      </c>
      <c r="B26" s="236"/>
      <c r="C26" s="125"/>
      <c r="D26" s="128">
        <f>D24-D25</f>
        <v>0</v>
      </c>
    </row>
    <row r="27" spans="1:14" x14ac:dyDescent="0.25">
      <c r="B27" s="42"/>
      <c r="D27" s="203"/>
    </row>
    <row r="28" spans="1:14" ht="26.4" customHeight="1" x14ac:dyDescent="0.25">
      <c r="A28" s="592" t="s">
        <v>464</v>
      </c>
      <c r="B28" s="565"/>
      <c r="C28" s="130"/>
      <c r="D28" s="207"/>
    </row>
    <row r="29" spans="1:14" ht="26.4" customHeight="1" x14ac:dyDescent="0.25">
      <c r="A29" s="592" t="s">
        <v>463</v>
      </c>
      <c r="B29" s="565"/>
      <c r="C29" s="130"/>
      <c r="D29" s="208"/>
    </row>
    <row r="30" spans="1:14" x14ac:dyDescent="0.25">
      <c r="B30" s="42"/>
      <c r="D30" s="203"/>
    </row>
    <row r="31" spans="1:14" x14ac:dyDescent="0.25">
      <c r="B31" s="42"/>
      <c r="D31" s="203"/>
    </row>
    <row r="32" spans="1:14" x14ac:dyDescent="0.25">
      <c r="A32" s="39" t="s">
        <v>453</v>
      </c>
      <c r="D32" s="203"/>
    </row>
    <row r="33" spans="1:14" x14ac:dyDescent="0.25">
      <c r="A33" s="65" t="s">
        <v>454</v>
      </c>
      <c r="B33" s="237"/>
      <c r="C33" s="125"/>
      <c r="D33" s="206">
        <f>MIN(D18,D26)</f>
        <v>0</v>
      </c>
    </row>
    <row r="34" spans="1:14" x14ac:dyDescent="0.25">
      <c r="A34" s="66" t="s">
        <v>369</v>
      </c>
      <c r="B34" s="237"/>
      <c r="C34" s="125">
        <f>D22</f>
        <v>0</v>
      </c>
      <c r="D34" s="209">
        <f>IF(D33=0,0,C34/D33)</f>
        <v>0</v>
      </c>
    </row>
    <row r="35" spans="1:14" x14ac:dyDescent="0.25">
      <c r="A35" s="66" t="s">
        <v>370</v>
      </c>
      <c r="B35" s="237"/>
      <c r="C35" s="125">
        <f>D33*D35</f>
        <v>0</v>
      </c>
      <c r="D35" s="209">
        <v>0.7</v>
      </c>
    </row>
    <row r="36" spans="1:14" s="40" customFormat="1" x14ac:dyDescent="0.25">
      <c r="A36" s="43" t="s">
        <v>449</v>
      </c>
      <c r="B36" s="136"/>
      <c r="C36" s="135" t="str">
        <f>IF(C35&gt;C34,C35-C34,"")</f>
        <v/>
      </c>
      <c r="D36" s="128" t="str">
        <f>IF(C35&gt;C34,D33-C36,"")</f>
        <v/>
      </c>
      <c r="I36" s="118"/>
      <c r="J36"/>
      <c r="K36"/>
      <c r="L36"/>
      <c r="M36"/>
      <c r="N36"/>
    </row>
    <row r="37" spans="1:14" x14ac:dyDescent="0.25">
      <c r="C37"/>
      <c r="D37" s="88"/>
    </row>
    <row r="38" spans="1:14" x14ac:dyDescent="0.25">
      <c r="D38" s="203"/>
    </row>
    <row r="39" spans="1:14" x14ac:dyDescent="0.25">
      <c r="A39" s="39" t="s">
        <v>457</v>
      </c>
      <c r="D39" s="203"/>
    </row>
    <row r="40" spans="1:14" x14ac:dyDescent="0.25">
      <c r="A40" s="41" t="s">
        <v>455</v>
      </c>
      <c r="B40" s="236"/>
      <c r="C40" s="131"/>
      <c r="D40" s="128">
        <f>MIN(D18,D26,D36)</f>
        <v>0</v>
      </c>
    </row>
    <row r="41" spans="1:14" x14ac:dyDescent="0.25">
      <c r="A41" s="132" t="s">
        <v>371</v>
      </c>
      <c r="B41" s="236"/>
      <c r="C41" s="133">
        <v>0.2</v>
      </c>
      <c r="D41" s="128">
        <f>D40*C41</f>
        <v>0</v>
      </c>
    </row>
    <row r="42" spans="1:14" s="129" customFormat="1" ht="30.75" customHeight="1" x14ac:dyDescent="0.3">
      <c r="A42" s="593" t="s">
        <v>372</v>
      </c>
      <c r="B42" s="594"/>
      <c r="C42" s="594"/>
      <c r="D42" s="326">
        <f>D40-D41</f>
        <v>0</v>
      </c>
      <c r="I42" s="118"/>
      <c r="J42"/>
      <c r="K42"/>
      <c r="L42"/>
      <c r="M42"/>
      <c r="N42"/>
    </row>
    <row r="45" spans="1:14" ht="15.6" x14ac:dyDescent="0.25">
      <c r="A45" s="590" t="s">
        <v>179</v>
      </c>
      <c r="B45" s="590"/>
      <c r="C45" s="590"/>
      <c r="D45" s="590"/>
      <c r="E45" s="2"/>
    </row>
    <row r="46" spans="1:14" ht="15.6" x14ac:dyDescent="0.25">
      <c r="B46" s="6"/>
      <c r="C46" s="11"/>
      <c r="D46" s="2"/>
      <c r="E46" s="2"/>
    </row>
    <row r="47" spans="1:14" x14ac:dyDescent="0.25">
      <c r="A47" s="137"/>
      <c r="B47" s="138"/>
      <c r="C47" s="8" t="s">
        <v>304</v>
      </c>
      <c r="D47" s="8" t="s">
        <v>305</v>
      </c>
    </row>
    <row r="48" spans="1:14" ht="40.5" customHeight="1" x14ac:dyDescent="0.25">
      <c r="A48" s="16">
        <v>1</v>
      </c>
      <c r="B48" s="83" t="s">
        <v>465</v>
      </c>
      <c r="C48" s="17"/>
      <c r="D48" s="17"/>
    </row>
    <row r="49" spans="1:9" ht="40.5" customHeight="1" x14ac:dyDescent="0.25">
      <c r="A49" s="16">
        <v>2</v>
      </c>
      <c r="B49" s="83" t="s">
        <v>456</v>
      </c>
      <c r="C49" s="30"/>
      <c r="D49" s="30"/>
    </row>
    <row r="51" spans="1:9" ht="15" x14ac:dyDescent="0.25">
      <c r="A51" s="3" t="s">
        <v>191</v>
      </c>
      <c r="C51" s="7"/>
      <c r="D51" s="2"/>
      <c r="E51" s="2"/>
      <c r="I51"/>
    </row>
    <row r="52" spans="1:9" x14ac:dyDescent="0.25">
      <c r="A52" s="470"/>
      <c r="B52" s="470"/>
      <c r="C52" s="470"/>
      <c r="D52" s="470"/>
      <c r="E52" s="134"/>
      <c r="I52"/>
    </row>
    <row r="53" spans="1:9" x14ac:dyDescent="0.25">
      <c r="A53" s="470"/>
      <c r="B53" s="470"/>
      <c r="C53" s="470"/>
      <c r="D53" s="470"/>
      <c r="E53" s="134"/>
      <c r="I53"/>
    </row>
    <row r="54" spans="1:9" x14ac:dyDescent="0.25">
      <c r="A54" s="470"/>
      <c r="B54" s="470"/>
      <c r="C54" s="470"/>
      <c r="D54" s="470"/>
      <c r="E54" s="134"/>
      <c r="I54"/>
    </row>
    <row r="55" spans="1:9" x14ac:dyDescent="0.25">
      <c r="A55" s="470"/>
      <c r="B55" s="470"/>
      <c r="C55" s="470"/>
      <c r="D55" s="470"/>
      <c r="E55" s="134"/>
      <c r="I55"/>
    </row>
    <row r="56" spans="1:9" x14ac:dyDescent="0.25">
      <c r="A56" s="470"/>
      <c r="B56" s="470"/>
      <c r="C56" s="470"/>
      <c r="D56" s="470"/>
      <c r="E56" s="134"/>
      <c r="I56"/>
    </row>
    <row r="57" spans="1:9" x14ac:dyDescent="0.25">
      <c r="A57" s="470"/>
      <c r="B57" s="470"/>
      <c r="C57" s="470"/>
      <c r="D57" s="470"/>
      <c r="E57" s="134"/>
      <c r="I57"/>
    </row>
    <row r="58" spans="1:9" x14ac:dyDescent="0.25">
      <c r="B58" s="134"/>
      <c r="C58" s="134"/>
      <c r="D58" s="134"/>
      <c r="E58" s="134"/>
      <c r="I58"/>
    </row>
    <row r="59" spans="1:9" x14ac:dyDescent="0.25">
      <c r="A59" s="84" t="s">
        <v>375</v>
      </c>
      <c r="C59" s="84"/>
      <c r="D59" s="84"/>
      <c r="E59" s="84"/>
      <c r="I59"/>
    </row>
    <row r="60" spans="1:9" x14ac:dyDescent="0.25">
      <c r="A60" s="84" t="s">
        <v>376</v>
      </c>
      <c r="C60" s="84"/>
      <c r="D60" s="84"/>
      <c r="E60" s="84"/>
      <c r="I60"/>
    </row>
    <row r="61" spans="1:9" x14ac:dyDescent="0.25">
      <c r="A61" s="584"/>
      <c r="B61" s="585"/>
      <c r="C61" s="585"/>
      <c r="D61" s="585"/>
      <c r="E61" s="134"/>
      <c r="I61"/>
    </row>
    <row r="62" spans="1:9" x14ac:dyDescent="0.25">
      <c r="A62" s="585"/>
      <c r="B62" s="585"/>
      <c r="C62" s="585"/>
      <c r="D62" s="585"/>
      <c r="E62" s="134"/>
      <c r="I62"/>
    </row>
    <row r="63" spans="1:9" x14ac:dyDescent="0.25">
      <c r="A63" s="585"/>
      <c r="B63" s="585"/>
      <c r="C63" s="585"/>
      <c r="D63" s="585"/>
      <c r="E63" s="134"/>
      <c r="I63"/>
    </row>
    <row r="64" spans="1:9" x14ac:dyDescent="0.25">
      <c r="A64" s="585"/>
      <c r="B64" s="585"/>
      <c r="C64" s="585"/>
      <c r="D64" s="585"/>
      <c r="E64" s="134"/>
      <c r="I64"/>
    </row>
    <row r="65" spans="1:9" x14ac:dyDescent="0.25">
      <c r="B65" s="134"/>
      <c r="C65" s="134"/>
      <c r="D65" s="134"/>
      <c r="E65" s="134"/>
      <c r="I65"/>
    </row>
    <row r="66" spans="1:9" x14ac:dyDescent="0.25">
      <c r="A66" s="84" t="s">
        <v>373</v>
      </c>
      <c r="C66" s="84"/>
      <c r="D66" s="84"/>
      <c r="E66" s="84"/>
      <c r="I66"/>
    </row>
    <row r="67" spans="1:9" x14ac:dyDescent="0.25">
      <c r="A67" s="84" t="s">
        <v>374</v>
      </c>
      <c r="C67" s="84"/>
      <c r="D67" s="84"/>
      <c r="E67" s="84"/>
      <c r="I67"/>
    </row>
    <row r="68" spans="1:9" x14ac:dyDescent="0.25">
      <c r="A68" s="584"/>
      <c r="B68" s="585"/>
      <c r="C68" s="585"/>
      <c r="D68" s="585"/>
      <c r="E68" s="134"/>
      <c r="I68"/>
    </row>
    <row r="69" spans="1:9" x14ac:dyDescent="0.25">
      <c r="A69" s="585"/>
      <c r="B69" s="585"/>
      <c r="C69" s="585"/>
      <c r="D69" s="585"/>
      <c r="E69" s="134"/>
      <c r="I69"/>
    </row>
    <row r="70" spans="1:9" x14ac:dyDescent="0.25">
      <c r="A70" s="585"/>
      <c r="B70" s="585"/>
      <c r="C70" s="585"/>
      <c r="D70" s="585"/>
      <c r="E70" s="134"/>
      <c r="I70"/>
    </row>
    <row r="71" spans="1:9" x14ac:dyDescent="0.25">
      <c r="A71" s="585"/>
      <c r="B71" s="585"/>
      <c r="C71" s="585"/>
      <c r="D71" s="585"/>
      <c r="E71" s="134"/>
      <c r="I71"/>
    </row>
  </sheetData>
  <sheetProtection algorithmName="SHA-512" hashValue="j1SPkewEDuEE0z1pm6GHrAfZ+2Tn/QQFLiC8azflowLbzVpw2iGaEO8jfAQ8VfJAxtvnPQEakxOuXLTJJVfRVg==" saltValue="CtlLCdNLUIxDdd2PDwjgkw==" spinCount="100000" sheet="1" objects="1" scenarios="1"/>
  <customSheetViews>
    <customSheetView guid="{3FC92738-033B-4B68-8121-D7E87081064C}">
      <selection activeCell="C10" sqref="C10:D10"/>
      <rowBreaks count="1" manualBreakCount="1">
        <brk id="59" max="3" man="1"/>
      </rowBreaks>
      <pageMargins left="0.78740157480314965" right="0.39370078740157483" top="0.78740157480314965" bottom="0.78740157480314965" header="0.31496062992125984" footer="0.31496062992125984"/>
      <pageSetup paperSize="9" scale="76" orientation="portrait" r:id="rId1"/>
      <headerFooter>
        <oddHeader xml:space="preserve">&amp;LGesundheits- und Fürsorgedirektion, Sozialamt, Rathausgasse 1,  3011 Bern&amp;RSeite &amp;P von &amp;N </oddHeader>
        <oddFooter>&amp;L&amp;A&amp;R&amp;D</oddFooter>
      </headerFooter>
    </customSheetView>
    <customSheetView guid="{E083F7BB-7916-4ABB-BDC7-6042584E3606}">
      <selection activeCell="C10" sqref="C10:D10"/>
      <rowBreaks count="1" manualBreakCount="1">
        <brk id="59" max="3" man="1"/>
      </rowBreaks>
      <pageMargins left="0.78740157480314965" right="0.39370078740157483" top="0.78740157480314965" bottom="0.78740157480314965" header="0.31496062992125984" footer="0.31496062992125984"/>
      <pageSetup paperSize="9" scale="76" orientation="portrait" r:id="rId2"/>
      <headerFooter>
        <oddHeader xml:space="preserve">&amp;LGesundheits- und Fürsorgedirektion, Sozialamt, Rathausgasse 1,  3011 Bern&amp;RSeite &amp;P von &amp;N </oddHeader>
        <oddFooter>&amp;L&amp;A&amp;R&amp;D</oddFooter>
      </headerFooter>
    </customSheetView>
    <customSheetView guid="{ED1EFE49-5A07-488C-96A3-3B9FD4475C11}">
      <selection activeCell="C10" sqref="C10:D10"/>
      <rowBreaks count="1" manualBreakCount="1">
        <brk id="59" max="3" man="1"/>
      </rowBreaks>
      <pageMargins left="0.78740157480314965" right="0.39370078740157483" top="0.78740157480314965" bottom="0.78740157480314965" header="0.31496062992125984" footer="0.31496062992125984"/>
      <pageSetup paperSize="9" scale="76" orientation="portrait" r:id="rId3"/>
      <headerFooter>
        <oddHeader xml:space="preserve">&amp;LGesundheits- und Fürsorgedirektion, Sozialamt, Rathausgasse 1,  3011 Bern&amp;RSeite &amp;P von &amp;N </oddHeader>
        <oddFooter>&amp;L&amp;A&amp;R&amp;D</oddFooter>
      </headerFooter>
    </customSheetView>
  </customSheetViews>
  <mergeCells count="19">
    <mergeCell ref="C3:D3"/>
    <mergeCell ref="C4:D4"/>
    <mergeCell ref="C5:D5"/>
    <mergeCell ref="A18:B18"/>
    <mergeCell ref="A57:D57"/>
    <mergeCell ref="A45:D45"/>
    <mergeCell ref="A25:B25"/>
    <mergeCell ref="A28:B28"/>
    <mergeCell ref="A29:B29"/>
    <mergeCell ref="A42:C42"/>
    <mergeCell ref="A7:D7"/>
    <mergeCell ref="A8:D8"/>
    <mergeCell ref="A61:D64"/>
    <mergeCell ref="A68:D71"/>
    <mergeCell ref="A52:D52"/>
    <mergeCell ref="A53:D53"/>
    <mergeCell ref="A54:D54"/>
    <mergeCell ref="A55:D55"/>
    <mergeCell ref="A56:D56"/>
  </mergeCells>
  <dataValidations count="1">
    <dataValidation type="whole" allowBlank="1" showInputMessage="1" showErrorMessage="1" prompt="Nur ganze Zahlen eingeben" sqref="D14" xr:uid="{00000000-0002-0000-0E00-000000000000}">
      <formula1>1</formula1>
      <formula2>1000000000</formula2>
    </dataValidation>
  </dataValidations>
  <hyperlinks>
    <hyperlink ref="E14" r:id="rId4" display="Lien OKJA" xr:uid="{00000000-0004-0000-0E00-000000000000}"/>
  </hyperlinks>
  <pageMargins left="0.78740157480314965" right="0.39370078740157483" top="0.78740157480314965" bottom="0.78740157480314965" header="0.31496062992125984" footer="0.31496062992125984"/>
  <pageSetup paperSize="9" scale="75" orientation="portrait" r:id="rId5"/>
  <headerFooter>
    <oddHeader>&amp;LFormulaire de révision (décompte et contrôle) &amp;R &amp;P / &amp;N</oddHeader>
    <oddFooter>&amp;L&amp;A&amp;R&amp;D</oddFooter>
  </headerFooter>
  <rowBreaks count="1" manualBreakCount="1">
    <brk id="44"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2"/>
  <dimension ref="A1:K62"/>
  <sheetViews>
    <sheetView zoomScaleNormal="100" workbookViewId="0">
      <selection activeCell="F5" sqref="F5"/>
    </sheetView>
  </sheetViews>
  <sheetFormatPr baseColWidth="10" defaultColWidth="11.44140625" defaultRowHeight="13.2" x14ac:dyDescent="0.25"/>
  <cols>
    <col min="1" max="1" width="5.5546875" style="2" customWidth="1"/>
    <col min="2" max="2" width="42" style="2" customWidth="1"/>
    <col min="3" max="6" width="24.5546875" style="2" customWidth="1"/>
    <col min="7" max="7" width="11.88671875" style="2" customWidth="1"/>
    <col min="8" max="16384" width="11.44140625" style="2"/>
  </cols>
  <sheetData>
    <row r="1" spans="1:7" s="9" customFormat="1" ht="15.6" x14ac:dyDescent="0.3">
      <c r="A1" s="1" t="s">
        <v>169</v>
      </c>
      <c r="F1" s="23" t="s">
        <v>377</v>
      </c>
      <c r="G1" s="23"/>
    </row>
    <row r="2" spans="1:7" s="7" customFormat="1" ht="15" x14ac:dyDescent="0.25"/>
    <row r="3" spans="1:7" ht="20.25" customHeight="1" x14ac:dyDescent="0.25">
      <c r="A3" s="10" t="s">
        <v>139</v>
      </c>
      <c r="F3" s="95">
        <v>2024</v>
      </c>
    </row>
    <row r="4" spans="1:7" ht="20.25" customHeight="1" x14ac:dyDescent="0.25">
      <c r="A4" s="12" t="s">
        <v>140</v>
      </c>
      <c r="B4" s="11"/>
      <c r="F4" s="415">
        <f>'1 Récapitulation'!E10</f>
        <v>0</v>
      </c>
    </row>
    <row r="5" spans="1:7" ht="20.25" customHeight="1" x14ac:dyDescent="0.25">
      <c r="A5" s="12" t="s">
        <v>141</v>
      </c>
      <c r="B5" s="11"/>
      <c r="F5" s="412"/>
    </row>
    <row r="6" spans="1:7" x14ac:dyDescent="0.25">
      <c r="A6" s="3" t="s">
        <v>358</v>
      </c>
    </row>
    <row r="7" spans="1:7" x14ac:dyDescent="0.25">
      <c r="A7" s="618"/>
      <c r="B7" s="618"/>
      <c r="C7" s="478"/>
      <c r="D7" s="478"/>
      <c r="E7" s="478"/>
      <c r="F7" s="478"/>
      <c r="G7"/>
    </row>
    <row r="8" spans="1:7" x14ac:dyDescent="0.25">
      <c r="A8" s="618"/>
      <c r="B8" s="618"/>
      <c r="C8" s="478"/>
      <c r="D8" s="478"/>
      <c r="E8" s="478"/>
      <c r="F8" s="478"/>
      <c r="G8"/>
    </row>
    <row r="9" spans="1:7" ht="12.75" customHeight="1" x14ac:dyDescent="0.3">
      <c r="A9" s="1"/>
      <c r="B9" s="20"/>
    </row>
    <row r="10" spans="1:7" ht="14.25" customHeight="1" x14ac:dyDescent="0.25">
      <c r="A10" s="6" t="s">
        <v>359</v>
      </c>
      <c r="B10" s="15"/>
    </row>
    <row r="11" spans="1:7" ht="12.75" customHeight="1" x14ac:dyDescent="0.25">
      <c r="A11" s="6"/>
      <c r="B11" s="15"/>
    </row>
    <row r="12" spans="1:7" ht="12.75" customHeight="1" x14ac:dyDescent="0.25">
      <c r="A12" s="627" t="s">
        <v>378</v>
      </c>
      <c r="B12" s="600"/>
      <c r="C12" s="600"/>
      <c r="D12" s="600"/>
      <c r="E12" s="600"/>
      <c r="F12" s="184"/>
      <c r="G12"/>
    </row>
    <row r="13" spans="1:7" ht="12.75" customHeight="1" x14ac:dyDescent="0.25">
      <c r="A13" s="627" t="s">
        <v>551</v>
      </c>
      <c r="B13" s="600"/>
      <c r="C13" s="600"/>
      <c r="D13" s="600"/>
      <c r="E13" s="600"/>
      <c r="F13" s="185"/>
      <c r="G13"/>
    </row>
    <row r="14" spans="1:7" ht="12.75" customHeight="1" x14ac:dyDescent="0.25">
      <c r="A14" s="627" t="s">
        <v>379</v>
      </c>
      <c r="B14" s="600"/>
      <c r="C14" s="600"/>
      <c r="D14" s="600"/>
      <c r="E14" s="600"/>
      <c r="F14" s="29"/>
      <c r="G14"/>
    </row>
    <row r="15" spans="1:7" ht="12.75" customHeight="1" x14ac:dyDescent="0.25">
      <c r="A15" s="9"/>
      <c r="B15" s="9"/>
    </row>
    <row r="16" spans="1:7" ht="15.75" customHeight="1" x14ac:dyDescent="0.25">
      <c r="A16" s="3" t="s">
        <v>380</v>
      </c>
      <c r="B16" s="9"/>
    </row>
    <row r="17" spans="1:7" ht="12.75" customHeight="1" x14ac:dyDescent="0.25">
      <c r="A17" s="625">
        <v>1</v>
      </c>
      <c r="B17" s="626"/>
      <c r="C17" s="22">
        <v>2</v>
      </c>
      <c r="D17" s="22">
        <v>3</v>
      </c>
      <c r="E17" s="22">
        <v>4</v>
      </c>
      <c r="F17" s="22">
        <v>5</v>
      </c>
      <c r="G17" s="182"/>
    </row>
    <row r="18" spans="1:7" ht="150.9" customHeight="1" x14ac:dyDescent="0.25">
      <c r="A18" s="620" t="s">
        <v>381</v>
      </c>
      <c r="B18" s="621"/>
      <c r="C18" s="4" t="s">
        <v>382</v>
      </c>
      <c r="D18" s="4" t="s">
        <v>383</v>
      </c>
      <c r="E18" s="4" t="s">
        <v>466</v>
      </c>
      <c r="F18" s="4" t="s">
        <v>384</v>
      </c>
      <c r="G18" s="183"/>
    </row>
    <row r="19" spans="1:7" ht="12.75" customHeight="1" x14ac:dyDescent="0.25">
      <c r="A19" s="614"/>
      <c r="B19" s="615"/>
      <c r="C19" s="250"/>
      <c r="D19" s="250"/>
      <c r="E19" s="250"/>
      <c r="F19" s="25">
        <f>C19-D19-E19</f>
        <v>0</v>
      </c>
      <c r="G19" s="186"/>
    </row>
    <row r="20" spans="1:7" ht="12.75" customHeight="1" x14ac:dyDescent="0.25">
      <c r="A20" s="612"/>
      <c r="B20" s="613"/>
      <c r="C20" s="251"/>
      <c r="D20" s="251"/>
      <c r="E20" s="251"/>
      <c r="F20" s="25">
        <f t="shared" ref="F20:F31" si="0">C20-D20-E20</f>
        <v>0</v>
      </c>
      <c r="G20" s="186"/>
    </row>
    <row r="21" spans="1:7" ht="12.75" customHeight="1" x14ac:dyDescent="0.25">
      <c r="A21" s="614"/>
      <c r="B21" s="615"/>
      <c r="C21" s="250"/>
      <c r="D21" s="250"/>
      <c r="E21" s="250"/>
      <c r="F21" s="25">
        <f t="shared" si="0"/>
        <v>0</v>
      </c>
      <c r="G21" s="186"/>
    </row>
    <row r="22" spans="1:7" ht="12.75" customHeight="1" x14ac:dyDescent="0.25">
      <c r="A22" s="612"/>
      <c r="B22" s="613"/>
      <c r="C22" s="251"/>
      <c r="D22" s="251"/>
      <c r="E22" s="251"/>
      <c r="F22" s="25">
        <f t="shared" si="0"/>
        <v>0</v>
      </c>
      <c r="G22" s="186"/>
    </row>
    <row r="23" spans="1:7" ht="12.75" customHeight="1" x14ac:dyDescent="0.25">
      <c r="A23" s="614"/>
      <c r="B23" s="615"/>
      <c r="C23" s="250"/>
      <c r="D23" s="250"/>
      <c r="E23" s="250"/>
      <c r="F23" s="25">
        <f t="shared" si="0"/>
        <v>0</v>
      </c>
      <c r="G23" s="186"/>
    </row>
    <row r="24" spans="1:7" ht="12.75" customHeight="1" x14ac:dyDescent="0.25">
      <c r="A24" s="612"/>
      <c r="B24" s="613"/>
      <c r="C24" s="251"/>
      <c r="D24" s="251"/>
      <c r="E24" s="251"/>
      <c r="F24" s="25">
        <f t="shared" si="0"/>
        <v>0</v>
      </c>
      <c r="G24" s="186"/>
    </row>
    <row r="25" spans="1:7" ht="12.75" customHeight="1" x14ac:dyDescent="0.25">
      <c r="A25" s="614"/>
      <c r="B25" s="615"/>
      <c r="C25" s="250"/>
      <c r="D25" s="250"/>
      <c r="E25" s="250"/>
      <c r="F25" s="25">
        <f t="shared" si="0"/>
        <v>0</v>
      </c>
      <c r="G25" s="186"/>
    </row>
    <row r="26" spans="1:7" ht="12.75" customHeight="1" x14ac:dyDescent="0.25">
      <c r="A26" s="622"/>
      <c r="B26" s="623"/>
      <c r="C26" s="251"/>
      <c r="D26" s="251"/>
      <c r="E26" s="251"/>
      <c r="F26" s="25">
        <f t="shared" si="0"/>
        <v>0</v>
      </c>
      <c r="G26" s="186"/>
    </row>
    <row r="27" spans="1:7" ht="12.75" customHeight="1" x14ac:dyDescent="0.25">
      <c r="A27" s="624"/>
      <c r="B27" s="619"/>
      <c r="C27" s="250"/>
      <c r="D27" s="250"/>
      <c r="E27" s="250"/>
      <c r="F27" s="25">
        <f t="shared" si="0"/>
        <v>0</v>
      </c>
      <c r="G27" s="186"/>
    </row>
    <row r="28" spans="1:7" ht="12.75" customHeight="1" x14ac:dyDescent="0.25">
      <c r="A28" s="622"/>
      <c r="B28" s="623"/>
      <c r="C28" s="251"/>
      <c r="D28" s="251"/>
      <c r="E28" s="251"/>
      <c r="F28" s="25">
        <f t="shared" si="0"/>
        <v>0</v>
      </c>
      <c r="G28" s="186"/>
    </row>
    <row r="29" spans="1:7" ht="12.75" customHeight="1" x14ac:dyDescent="0.25">
      <c r="A29" s="624"/>
      <c r="B29" s="619"/>
      <c r="C29" s="250"/>
      <c r="D29" s="250"/>
      <c r="E29" s="250"/>
      <c r="F29" s="25">
        <f t="shared" si="0"/>
        <v>0</v>
      </c>
      <c r="G29" s="186"/>
    </row>
    <row r="30" spans="1:7" ht="12.75" customHeight="1" x14ac:dyDescent="0.25">
      <c r="A30" s="622"/>
      <c r="B30" s="623"/>
      <c r="C30" s="251"/>
      <c r="D30" s="251"/>
      <c r="E30" s="251"/>
      <c r="F30" s="25">
        <f t="shared" si="0"/>
        <v>0</v>
      </c>
      <c r="G30" s="186"/>
    </row>
    <row r="31" spans="1:7" ht="12.75" customHeight="1" x14ac:dyDescent="0.25">
      <c r="A31" s="614"/>
      <c r="B31" s="619"/>
      <c r="C31" s="250"/>
      <c r="D31" s="250"/>
      <c r="E31" s="250"/>
      <c r="F31" s="25">
        <f t="shared" si="0"/>
        <v>0</v>
      </c>
      <c r="G31" s="186"/>
    </row>
    <row r="32" spans="1:7" ht="12.75" customHeight="1" x14ac:dyDescent="0.25">
      <c r="A32" s="616"/>
      <c r="B32" s="617"/>
      <c r="C32" s="252"/>
      <c r="D32" s="34"/>
      <c r="E32" s="34" t="s">
        <v>0</v>
      </c>
      <c r="F32" s="112">
        <f>SUM(F19:F31)</f>
        <v>0</v>
      </c>
      <c r="G32" s="81"/>
    </row>
    <row r="33" spans="1:11" ht="12.75" customHeight="1" x14ac:dyDescent="0.25">
      <c r="A33" s="10" t="s">
        <v>388</v>
      </c>
      <c r="B33" s="15"/>
      <c r="H33" s="423">
        <v>2024</v>
      </c>
      <c r="I33" s="423">
        <v>2025</v>
      </c>
      <c r="J33" s="423">
        <v>2026</v>
      </c>
      <c r="K33" s="423">
        <v>2027</v>
      </c>
    </row>
    <row r="34" spans="1:11" ht="33" customHeight="1" x14ac:dyDescent="0.25">
      <c r="A34" s="399">
        <v>1</v>
      </c>
      <c r="B34" s="556" t="s">
        <v>385</v>
      </c>
      <c r="C34" s="557"/>
      <c r="D34" s="557"/>
      <c r="E34" s="557"/>
      <c r="F34" s="96" t="str">
        <f>IF(YEAR(F13)=2024,F14*H34,IF(YEAR(F13)=2024,F14,"Remplir la cellule F13"))</f>
        <v>Remplir la cellule F13</v>
      </c>
      <c r="G34" s="253"/>
      <c r="H34" s="200">
        <v>1</v>
      </c>
      <c r="I34" s="455" t="s">
        <v>542</v>
      </c>
      <c r="J34" s="455" t="s">
        <v>542</v>
      </c>
      <c r="K34" s="455" t="s">
        <v>542</v>
      </c>
    </row>
    <row r="35" spans="1:11" ht="51" x14ac:dyDescent="0.25">
      <c r="A35" s="16">
        <v>2</v>
      </c>
      <c r="B35" s="556" t="s">
        <v>386</v>
      </c>
      <c r="C35" s="557"/>
      <c r="D35" s="557"/>
      <c r="E35" s="557"/>
      <c r="F35" s="26">
        <f>F32</f>
        <v>0</v>
      </c>
      <c r="H35" s="424" t="s">
        <v>543</v>
      </c>
      <c r="I35" s="424" t="s">
        <v>542</v>
      </c>
      <c r="J35" s="424" t="s">
        <v>542</v>
      </c>
      <c r="K35" s="424" t="s">
        <v>542</v>
      </c>
    </row>
    <row r="36" spans="1:11" ht="33" customHeight="1" x14ac:dyDescent="0.25">
      <c r="A36" s="32">
        <v>3</v>
      </c>
      <c r="B36" s="561" t="s">
        <v>387</v>
      </c>
      <c r="C36" s="539"/>
      <c r="D36" s="539"/>
      <c r="E36" s="539"/>
      <c r="F36" s="327">
        <f>MIN(F34:F35)</f>
        <v>0</v>
      </c>
      <c r="H36" s="424"/>
    </row>
    <row r="37" spans="1:11" ht="21.75" customHeight="1" x14ac:dyDescent="0.25">
      <c r="A37" s="31"/>
      <c r="B37" s="181"/>
      <c r="C37" s="187"/>
      <c r="D37" s="187"/>
      <c r="E37" s="187"/>
      <c r="F37" s="187"/>
    </row>
    <row r="38" spans="1:11" ht="12.75" customHeight="1" x14ac:dyDescent="0.25">
      <c r="A38" s="6" t="s">
        <v>179</v>
      </c>
      <c r="B38" s="15"/>
    </row>
    <row r="39" spans="1:11" ht="12.75" customHeight="1" x14ac:dyDescent="0.25">
      <c r="A39" s="6"/>
      <c r="B39" s="15"/>
    </row>
    <row r="40" spans="1:11" ht="12.75" customHeight="1" x14ac:dyDescent="0.25">
      <c r="A40" s="410"/>
      <c r="B40" s="599"/>
      <c r="C40" s="600"/>
      <c r="D40" s="600"/>
      <c r="E40" s="393" t="s">
        <v>304</v>
      </c>
      <c r="F40" s="8" t="s">
        <v>305</v>
      </c>
    </row>
    <row r="41" spans="1:11" ht="47.1" customHeight="1" x14ac:dyDescent="0.25">
      <c r="A41" s="16">
        <v>1</v>
      </c>
      <c r="B41" s="535" t="s">
        <v>467</v>
      </c>
      <c r="C41" s="597"/>
      <c r="D41" s="598"/>
      <c r="E41" s="17"/>
      <c r="F41" s="17"/>
    </row>
    <row r="42" spans="1:11" ht="34.35" customHeight="1" x14ac:dyDescent="0.25">
      <c r="A42" s="601">
        <v>2</v>
      </c>
      <c r="B42" s="535" t="s">
        <v>468</v>
      </c>
      <c r="C42" s="597"/>
      <c r="D42" s="598"/>
      <c r="E42" s="30"/>
      <c r="F42" s="30"/>
    </row>
    <row r="43" spans="1:11" ht="12.75" customHeight="1" x14ac:dyDescent="0.25">
      <c r="A43" s="602"/>
      <c r="B43" s="604"/>
      <c r="C43" s="605"/>
      <c r="D43" s="605"/>
      <c r="E43" s="605"/>
      <c r="F43" s="606"/>
      <c r="G43" s="99"/>
    </row>
    <row r="44" spans="1:11" ht="12.75" customHeight="1" x14ac:dyDescent="0.25">
      <c r="A44" s="602"/>
      <c r="B44" s="607"/>
      <c r="C44" s="471"/>
      <c r="D44" s="471"/>
      <c r="E44" s="471"/>
      <c r="F44" s="608"/>
      <c r="G44" s="99"/>
    </row>
    <row r="45" spans="1:11" x14ac:dyDescent="0.25">
      <c r="A45" s="602"/>
      <c r="B45" s="607"/>
      <c r="C45" s="471"/>
      <c r="D45" s="471"/>
      <c r="E45" s="471"/>
      <c r="F45" s="608"/>
      <c r="G45" s="99"/>
    </row>
    <row r="46" spans="1:11" x14ac:dyDescent="0.25">
      <c r="A46" s="603"/>
      <c r="B46" s="609"/>
      <c r="C46" s="610"/>
      <c r="D46" s="610"/>
      <c r="E46" s="610"/>
      <c r="F46" s="611"/>
      <c r="G46" s="99"/>
    </row>
    <row r="48" spans="1:11" ht="15" x14ac:dyDescent="0.25">
      <c r="A48" s="3" t="s">
        <v>191</v>
      </c>
      <c r="B48" s="7"/>
    </row>
    <row r="49" spans="1:7" x14ac:dyDescent="0.25">
      <c r="A49" s="482"/>
      <c r="B49" s="471"/>
      <c r="C49" s="471"/>
      <c r="D49" s="471"/>
      <c r="E49" s="471"/>
      <c r="F49" s="471"/>
      <c r="G49" s="99"/>
    </row>
    <row r="50" spans="1:7" ht="12.75" customHeight="1" x14ac:dyDescent="0.25">
      <c r="A50" s="482"/>
      <c r="B50" s="471"/>
      <c r="C50" s="471"/>
      <c r="D50" s="471"/>
      <c r="E50" s="471"/>
      <c r="F50" s="471"/>
      <c r="G50" s="99"/>
    </row>
    <row r="51" spans="1:7" ht="12.75" customHeight="1" x14ac:dyDescent="0.25">
      <c r="A51" s="482"/>
      <c r="B51" s="471"/>
      <c r="C51" s="471"/>
      <c r="D51" s="471"/>
      <c r="E51" s="471"/>
      <c r="F51" s="471"/>
      <c r="G51" s="99"/>
    </row>
    <row r="52" spans="1:7" ht="12.75" customHeight="1" x14ac:dyDescent="0.25">
      <c r="A52" s="3" t="s">
        <v>389</v>
      </c>
      <c r="B52" s="7"/>
    </row>
    <row r="53" spans="1:7" ht="12.75" customHeight="1" x14ac:dyDescent="0.25">
      <c r="A53" s="482"/>
      <c r="B53" s="471"/>
      <c r="C53" s="471"/>
      <c r="D53" s="471"/>
      <c r="E53" s="471"/>
      <c r="F53" s="471"/>
      <c r="G53" s="99"/>
    </row>
    <row r="54" spans="1:7" ht="12.75" customHeight="1" x14ac:dyDescent="0.25">
      <c r="A54" s="471"/>
      <c r="B54" s="471"/>
      <c r="C54" s="471"/>
      <c r="D54" s="471"/>
      <c r="E54" s="471"/>
      <c r="F54" s="471"/>
      <c r="G54" s="99"/>
    </row>
    <row r="55" spans="1:7" x14ac:dyDescent="0.25">
      <c r="A55" s="471"/>
      <c r="B55" s="471"/>
      <c r="C55" s="471"/>
      <c r="D55" s="471"/>
      <c r="E55" s="471"/>
      <c r="F55" s="471"/>
      <c r="G55" s="99"/>
    </row>
    <row r="56" spans="1:7" ht="15" x14ac:dyDescent="0.25">
      <c r="A56" s="3" t="s">
        <v>390</v>
      </c>
      <c r="B56" s="7"/>
    </row>
    <row r="57" spans="1:7" ht="15" x14ac:dyDescent="0.25">
      <c r="A57" s="3" t="s">
        <v>391</v>
      </c>
      <c r="B57" s="7"/>
    </row>
    <row r="58" spans="1:7" x14ac:dyDescent="0.25">
      <c r="A58" s="490"/>
      <c r="B58" s="471"/>
      <c r="C58" s="471"/>
      <c r="D58" s="471"/>
      <c r="E58" s="471"/>
      <c r="F58" s="471"/>
      <c r="G58" s="99"/>
    </row>
    <row r="59" spans="1:7" x14ac:dyDescent="0.25">
      <c r="A59" s="471"/>
      <c r="B59" s="471"/>
      <c r="C59" s="471"/>
      <c r="D59" s="471"/>
      <c r="E59" s="471"/>
      <c r="F59" s="471"/>
      <c r="G59" s="99"/>
    </row>
    <row r="60" spans="1:7" x14ac:dyDescent="0.25">
      <c r="A60" s="471"/>
      <c r="B60" s="471"/>
      <c r="C60" s="471"/>
      <c r="D60" s="471"/>
      <c r="E60" s="471"/>
      <c r="F60" s="471"/>
      <c r="G60" s="99"/>
    </row>
    <row r="61" spans="1:7" x14ac:dyDescent="0.25">
      <c r="A61" s="9"/>
      <c r="B61" s="9"/>
    </row>
    <row r="62" spans="1:7" x14ac:dyDescent="0.25">
      <c r="A62" s="9"/>
      <c r="B62" s="9"/>
    </row>
  </sheetData>
  <sheetProtection algorithmName="SHA-512" hashValue="O1uFbPveZpDPE0UnPJi16/u8dvXqqqDo+wwTFNXlKvmwVJgyGtcjLHjpPdZQM5fN6q+dLNHUDTImZsbsqIiqxQ==" saltValue="cU2MDKvuiCqnXnD1CHUyqw==" spinCount="100000" sheet="1" objects="1" scenarios="1"/>
  <customSheetViews>
    <customSheetView guid="{3FC92738-033B-4B68-8121-D7E87081064C}" showGridLines="0">
      <selection activeCell="H10" sqref="H10:I10"/>
      <rowBreaks count="1" manualBreakCount="1">
        <brk id="40" max="9" man="1"/>
      </rowBreaks>
      <pageMargins left="0.78740157480314965" right="0.39370078740157483" top="0.51181102362204722" bottom="0.51181102362204722" header="0.11811023622047245" footer="0.11811023622047245"/>
      <pageSetup paperSize="9" scale="86" orientation="landscape" r:id="rId1"/>
      <headerFooter alignWithMargins="0">
        <oddHeader>&amp;LGesundheits- und Fürsorgedirektion, Sozialamt, Rathausgasse 1, 3011 Bern&amp;RSeite &amp;P von &amp;N</oddHeader>
        <oddFooter>&amp;L&amp;A&amp;R&amp;D</oddFooter>
      </headerFooter>
    </customSheetView>
    <customSheetView guid="{E083F7BB-7916-4ABB-BDC7-6042584E3606}" showGridLines="0">
      <selection activeCell="H10" sqref="H10:I10"/>
      <rowBreaks count="1" manualBreakCount="1">
        <brk id="40" max="9" man="1"/>
      </rowBreaks>
      <pageMargins left="0.78740157480314965" right="0.39370078740157483" top="0.51181102362204722" bottom="0.51181102362204722" header="0.11811023622047245" footer="0.11811023622047245"/>
      <pageSetup paperSize="9" scale="86" orientation="landscape" r:id="rId2"/>
      <headerFooter alignWithMargins="0">
        <oddHeader>&amp;LGesundheits- und Fürsorgedirektion, Sozialamt, Rathausgasse 1, 3011 Bern&amp;RSeite &amp;P von &amp;N</oddHeader>
        <oddFooter>&amp;L&amp;A&amp;R&amp;D</oddFooter>
      </headerFooter>
    </customSheetView>
    <customSheetView guid="{ED1EFE49-5A07-488C-96A3-3B9FD4475C11}" showGridLines="0">
      <selection activeCell="H10" sqref="H10:I10"/>
      <rowBreaks count="1" manualBreakCount="1">
        <brk id="40" max="9" man="1"/>
      </rowBreaks>
      <pageMargins left="0.78740157480314965" right="0.39370078740157483" top="0.51181102362204722" bottom="0.51181102362204722" header="0.11811023622047245" footer="0.11811023622047245"/>
      <pageSetup paperSize="9" scale="86" orientation="landscape" r:id="rId3"/>
      <headerFooter alignWithMargins="0">
        <oddHeader>&amp;LGesundheits- und Fürsorgedirektion, Sozialamt, Rathausgasse 1, 3011 Bern&amp;RSeite &amp;P von &amp;N</oddHeader>
        <oddFooter>&amp;L&amp;A&amp;R&amp;D</oddFooter>
      </headerFooter>
    </customSheetView>
  </customSheetViews>
  <mergeCells count="37">
    <mergeCell ref="A7:F7"/>
    <mergeCell ref="A8:F8"/>
    <mergeCell ref="A31:B31"/>
    <mergeCell ref="A20:B20"/>
    <mergeCell ref="A19:B19"/>
    <mergeCell ref="A18:B18"/>
    <mergeCell ref="A30:B30"/>
    <mergeCell ref="A26:B26"/>
    <mergeCell ref="A27:B27"/>
    <mergeCell ref="A28:B28"/>
    <mergeCell ref="A29:B29"/>
    <mergeCell ref="A17:B17"/>
    <mergeCell ref="A12:E12"/>
    <mergeCell ref="A13:E13"/>
    <mergeCell ref="A14:E14"/>
    <mergeCell ref="A21:B21"/>
    <mergeCell ref="A51:F51"/>
    <mergeCell ref="A53:F55"/>
    <mergeCell ref="A58:F60"/>
    <mergeCell ref="A49:F49"/>
    <mergeCell ref="A50:F50"/>
    <mergeCell ref="A22:B22"/>
    <mergeCell ref="A23:B23"/>
    <mergeCell ref="A24:B24"/>
    <mergeCell ref="A32:B32"/>
    <mergeCell ref="A25:B25"/>
    <mergeCell ref="A42:A46"/>
    <mergeCell ref="B43:F43"/>
    <mergeCell ref="B44:F44"/>
    <mergeCell ref="B45:F45"/>
    <mergeCell ref="B46:F46"/>
    <mergeCell ref="B34:E34"/>
    <mergeCell ref="B35:E35"/>
    <mergeCell ref="B36:E36"/>
    <mergeCell ref="B41:D41"/>
    <mergeCell ref="B42:D42"/>
    <mergeCell ref="B40:D40"/>
  </mergeCells>
  <pageMargins left="0.78740157480314965" right="0.39370078740157483" top="0.51181102362204722" bottom="0.51181102362204722" header="0.11811023622047245" footer="0.11811023622047245"/>
  <pageSetup paperSize="9" scale="80" orientation="landscape" r:id="rId4"/>
  <headerFooter alignWithMargins="0">
    <oddHeader>&amp;LFormulaire de révision (décompte et contrôle) &amp;R &amp;P / &amp;N</oddHeader>
    <oddFooter>&amp;L&amp;A&amp;R&amp;D</oddFooter>
  </headerFooter>
  <rowBreaks count="1" manualBreakCount="1">
    <brk id="3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33"/>
  <sheetViews>
    <sheetView zoomScaleNormal="100" workbookViewId="0">
      <selection activeCell="I11" sqref="I11"/>
    </sheetView>
  </sheetViews>
  <sheetFormatPr baseColWidth="10" defaultColWidth="11.44140625" defaultRowHeight="13.2" x14ac:dyDescent="0.25"/>
  <cols>
    <col min="1" max="1" width="11" style="201" customWidth="1"/>
    <col min="2" max="2" width="12.44140625" style="201" customWidth="1"/>
    <col min="3" max="3" width="45.44140625" style="201" bestFit="1" customWidth="1"/>
    <col min="4" max="4" width="66.5546875" style="201" customWidth="1"/>
    <col min="5" max="5" width="23.5546875" style="201" customWidth="1"/>
    <col min="6" max="6" width="44.44140625" style="201" customWidth="1"/>
    <col min="7" max="7" width="12.44140625" style="201" bestFit="1" customWidth="1"/>
    <col min="8" max="8" width="15.44140625" style="227" customWidth="1"/>
    <col min="9" max="9" width="21.109375" style="227" customWidth="1"/>
    <col min="10" max="10" width="18" style="227" customWidth="1"/>
    <col min="11" max="11" width="12.109375" style="227" customWidth="1"/>
    <col min="12" max="12" width="17" style="227" customWidth="1"/>
    <col min="13" max="13" width="2.5546875" style="201" customWidth="1"/>
    <col min="14" max="14" width="11.44140625" style="201"/>
    <col min="15" max="15" width="33.44140625" style="201" customWidth="1"/>
    <col min="16" max="16384" width="11.44140625" style="201"/>
  </cols>
  <sheetData>
    <row r="1" spans="1:15" x14ac:dyDescent="0.25">
      <c r="A1" s="226" t="s">
        <v>24</v>
      </c>
      <c r="B1" s="226" t="s">
        <v>25</v>
      </c>
      <c r="C1" s="226" t="s">
        <v>26</v>
      </c>
      <c r="D1" s="226" t="s">
        <v>27</v>
      </c>
      <c r="E1" s="226" t="s">
        <v>28</v>
      </c>
      <c r="F1" s="226" t="s">
        <v>29</v>
      </c>
      <c r="G1" s="226" t="s">
        <v>30</v>
      </c>
      <c r="H1" s="226" t="s">
        <v>31</v>
      </c>
      <c r="I1" s="226" t="s">
        <v>32</v>
      </c>
      <c r="J1" s="226" t="s">
        <v>33</v>
      </c>
      <c r="K1" s="226" t="s">
        <v>34</v>
      </c>
      <c r="L1" s="226" t="s">
        <v>35</v>
      </c>
      <c r="N1" s="480" t="s">
        <v>36</v>
      </c>
      <c r="O1" s="480"/>
    </row>
    <row r="2" spans="1:15" x14ac:dyDescent="0.25">
      <c r="A2" s="227" t="str">
        <f>TEXT('1 Récapitulation'!$E$10 &amp; "-SHR","@")</f>
        <v>-SHR</v>
      </c>
      <c r="B2" s="228" t="str">
        <f ca="1">TEXT(IF(G2&lt;&gt; 0,OFFSET(INDIRECT(rtI.Anker2b),0,0),""),"@")</f>
        <v/>
      </c>
      <c r="C2" s="227" t="s">
        <v>9</v>
      </c>
      <c r="D2" s="227" t="s">
        <v>7</v>
      </c>
      <c r="E2" s="227" t="s">
        <v>37</v>
      </c>
      <c r="F2" s="227" t="s">
        <v>38</v>
      </c>
      <c r="G2" s="229">
        <f ca="1">OFFSET(INDIRECT(rtI.Anker2b),0,2)</f>
        <v>0</v>
      </c>
      <c r="H2" s="227" t="str">
        <f t="shared" ref="H2:H65" ca="1" si="0">IF(G2&lt;&gt;0,IF(F2="1000","Aufwand",IF(OR(F2="1001",F2="1002",F2="1003",F2="1004",F2="1004",F2="1005",F2="1006"),"Ertrag","")),"")</f>
        <v/>
      </c>
      <c r="I2" s="227" t="str">
        <f ca="1">IF(G2&lt;&gt;0,IF(H2&lt;&gt;"","Total",""),"")</f>
        <v/>
      </c>
      <c r="J2" s="227" t="str">
        <f t="shared" ref="J2:J65" ca="1" si="1">IF(H2="Aufwand","Total Aufwand",IF(H2="Ertrag","Total Ertrag",""))</f>
        <v/>
      </c>
      <c r="K2" s="230" t="str">
        <f t="shared" ref="K2:K65" ca="1" si="2">IF(H2&lt;&gt;"","999999999.99","")</f>
        <v/>
      </c>
      <c r="L2" s="231" t="str">
        <f t="shared" ref="L2:L65" ca="1" si="3">IF(H2="Aufwand","900",IF(H2="Ertrag","901",""))</f>
        <v/>
      </c>
      <c r="N2" s="201" t="s">
        <v>39</v>
      </c>
      <c r="O2" s="232" t="s">
        <v>392</v>
      </c>
    </row>
    <row r="3" spans="1:15" x14ac:dyDescent="0.25">
      <c r="A3" s="227" t="str">
        <f>TEXT('1 Récapitulation'!$E$10 &amp; "-SHR","@")</f>
        <v>-SHR</v>
      </c>
      <c r="B3" s="228" t="str">
        <f ca="1">TEXT(IF(G3&lt;&gt; 0,OFFSET(INDIRECT(rtI.Anker2b),1,0),""),"@")</f>
        <v/>
      </c>
      <c r="C3" s="227" t="s">
        <v>9</v>
      </c>
      <c r="D3" s="227" t="s">
        <v>7</v>
      </c>
      <c r="E3" s="227" t="s">
        <v>37</v>
      </c>
      <c r="F3" s="227" t="s">
        <v>38</v>
      </c>
      <c r="G3" s="229">
        <f ca="1">OFFSET(INDIRECT(rtI.Anker2b),1,2)</f>
        <v>0</v>
      </c>
      <c r="H3" s="227" t="str">
        <f t="shared" ca="1" si="0"/>
        <v/>
      </c>
      <c r="I3" s="227" t="str">
        <f t="shared" ref="I3:I66" ca="1" si="4">IF(H3&lt;&gt;"","Total","")</f>
        <v/>
      </c>
      <c r="J3" s="227" t="str">
        <f t="shared" ca="1" si="1"/>
        <v/>
      </c>
      <c r="K3" s="230" t="str">
        <f t="shared" ca="1" si="2"/>
        <v/>
      </c>
      <c r="L3" s="231" t="str">
        <f t="shared" ca="1" si="3"/>
        <v/>
      </c>
      <c r="N3" s="201" t="s">
        <v>40</v>
      </c>
      <c r="O3" s="232" t="s">
        <v>393</v>
      </c>
    </row>
    <row r="4" spans="1:15" x14ac:dyDescent="0.25">
      <c r="A4" s="227" t="str">
        <f>TEXT('1 Récapitulation'!$E$10 &amp; "-SHR","@")</f>
        <v>-SHR</v>
      </c>
      <c r="B4" s="228" t="str">
        <f ca="1">TEXT(IF(G4&lt;&gt; 0,OFFSET(INDIRECT(rtI.Anker2b),2,0),""),"@")</f>
        <v/>
      </c>
      <c r="C4" s="227" t="s">
        <v>9</v>
      </c>
      <c r="D4" s="227" t="s">
        <v>7</v>
      </c>
      <c r="E4" s="227" t="s">
        <v>37</v>
      </c>
      <c r="F4" s="227" t="s">
        <v>38</v>
      </c>
      <c r="G4" s="229">
        <f ca="1">OFFSET(INDIRECT(rtI.Anker2b),2,2)</f>
        <v>0</v>
      </c>
      <c r="H4" s="227" t="str">
        <f t="shared" ca="1" si="0"/>
        <v/>
      </c>
      <c r="I4" s="227" t="str">
        <f t="shared" ca="1" si="4"/>
        <v/>
      </c>
      <c r="J4" s="227" t="str">
        <f t="shared" ca="1" si="1"/>
        <v/>
      </c>
      <c r="K4" s="230" t="str">
        <f t="shared" ca="1" si="2"/>
        <v/>
      </c>
      <c r="L4" s="231" t="str">
        <f t="shared" ca="1" si="3"/>
        <v/>
      </c>
      <c r="O4" s="232"/>
    </row>
    <row r="5" spans="1:15" x14ac:dyDescent="0.25">
      <c r="A5" s="227" t="str">
        <f>TEXT('1 Récapitulation'!$E$10 &amp; "-SHR","@")</f>
        <v>-SHR</v>
      </c>
      <c r="B5" s="228" t="str">
        <f ca="1">TEXT(IF(G5&lt;&gt; 0,OFFSET(INDIRECT(rtI.Anker2b),3,0),""),"@")</f>
        <v/>
      </c>
      <c r="C5" s="227" t="s">
        <v>9</v>
      </c>
      <c r="D5" s="227" t="s">
        <v>7</v>
      </c>
      <c r="E5" s="227" t="s">
        <v>37</v>
      </c>
      <c r="F5" s="227" t="s">
        <v>38</v>
      </c>
      <c r="G5" s="229">
        <f ca="1">OFFSET(INDIRECT(rtI.Anker2b),3,2)</f>
        <v>0</v>
      </c>
      <c r="H5" s="227" t="str">
        <f t="shared" ca="1" si="0"/>
        <v/>
      </c>
      <c r="I5" s="227" t="str">
        <f t="shared" ca="1" si="4"/>
        <v/>
      </c>
      <c r="J5" s="227" t="str">
        <f t="shared" ca="1" si="1"/>
        <v/>
      </c>
      <c r="K5" s="230" t="str">
        <f t="shared" ca="1" si="2"/>
        <v/>
      </c>
      <c r="L5" s="231" t="str">
        <f t="shared" ca="1" si="3"/>
        <v/>
      </c>
      <c r="O5" s="232"/>
    </row>
    <row r="6" spans="1:15" x14ac:dyDescent="0.25">
      <c r="A6" s="227" t="str">
        <f>TEXT('1 Récapitulation'!$E$10 &amp; "-SHR","@")</f>
        <v>-SHR</v>
      </c>
      <c r="B6" s="228" t="str">
        <f ca="1">TEXT(IF(G6&lt;&gt; 0,OFFSET(INDIRECT(rtI.Anker2b),4,0),""),"@")</f>
        <v/>
      </c>
      <c r="C6" s="227" t="s">
        <v>9</v>
      </c>
      <c r="D6" s="227" t="s">
        <v>7</v>
      </c>
      <c r="E6" s="227" t="s">
        <v>37</v>
      </c>
      <c r="F6" s="227" t="s">
        <v>38</v>
      </c>
      <c r="G6" s="229">
        <f ca="1">OFFSET(INDIRECT(rtI.Anker2b),4,2)</f>
        <v>0</v>
      </c>
      <c r="H6" s="227" t="str">
        <f t="shared" ca="1" si="0"/>
        <v/>
      </c>
      <c r="I6" s="227" t="str">
        <f t="shared" ca="1" si="4"/>
        <v/>
      </c>
      <c r="J6" s="227" t="str">
        <f t="shared" ca="1" si="1"/>
        <v/>
      </c>
      <c r="K6" s="230" t="str">
        <f t="shared" ca="1" si="2"/>
        <v/>
      </c>
      <c r="L6" s="231" t="str">
        <f t="shared" ca="1" si="3"/>
        <v/>
      </c>
    </row>
    <row r="7" spans="1:15" x14ac:dyDescent="0.25">
      <c r="A7" s="227" t="str">
        <f>TEXT('1 Récapitulation'!$E$10 &amp; "-SHR","@")</f>
        <v>-SHR</v>
      </c>
      <c r="B7" s="228" t="str">
        <f ca="1">TEXT(IF(G7&lt;&gt; 0,OFFSET(INDIRECT(rtI.Anker2b),5,0),""),"@")</f>
        <v/>
      </c>
      <c r="C7" s="227" t="s">
        <v>9</v>
      </c>
      <c r="D7" s="227" t="s">
        <v>7</v>
      </c>
      <c r="E7" s="227" t="s">
        <v>37</v>
      </c>
      <c r="F7" s="227" t="s">
        <v>38</v>
      </c>
      <c r="G7" s="229">
        <f ca="1">OFFSET(INDIRECT(rtI.Anker2b),5,2)</f>
        <v>0</v>
      </c>
      <c r="H7" s="227" t="str">
        <f t="shared" ca="1" si="0"/>
        <v/>
      </c>
      <c r="I7" s="227" t="str">
        <f t="shared" ca="1" si="4"/>
        <v/>
      </c>
      <c r="J7" s="227" t="str">
        <f t="shared" ca="1" si="1"/>
        <v/>
      </c>
      <c r="K7" s="230" t="str">
        <f t="shared" ca="1" si="2"/>
        <v/>
      </c>
      <c r="L7" s="231" t="str">
        <f t="shared" ca="1" si="3"/>
        <v/>
      </c>
    </row>
    <row r="8" spans="1:15" x14ac:dyDescent="0.25">
      <c r="A8" s="227" t="str">
        <f>TEXT('1 Récapitulation'!$E$10 &amp; "-SHR","@")</f>
        <v>-SHR</v>
      </c>
      <c r="B8" s="228" t="str">
        <f ca="1">TEXT(IF(G8&lt;&gt; 0,OFFSET(INDIRECT(rtI.Anker2b),6,0),""),"@")</f>
        <v/>
      </c>
      <c r="C8" s="227" t="s">
        <v>9</v>
      </c>
      <c r="D8" s="227" t="s">
        <v>7</v>
      </c>
      <c r="E8" s="227" t="s">
        <v>37</v>
      </c>
      <c r="F8" s="227" t="s">
        <v>38</v>
      </c>
      <c r="G8" s="229">
        <f ca="1">OFFSET(INDIRECT(rtI.Anker2b),6,2)</f>
        <v>0</v>
      </c>
      <c r="H8" s="227" t="str">
        <f t="shared" ca="1" si="0"/>
        <v/>
      </c>
      <c r="I8" s="227" t="str">
        <f t="shared" ca="1" si="4"/>
        <v/>
      </c>
      <c r="J8" s="227" t="str">
        <f t="shared" ca="1" si="1"/>
        <v/>
      </c>
      <c r="K8" s="230" t="str">
        <f t="shared" ca="1" si="2"/>
        <v/>
      </c>
      <c r="L8" s="231" t="str">
        <f t="shared" ca="1" si="3"/>
        <v/>
      </c>
    </row>
    <row r="9" spans="1:15" x14ac:dyDescent="0.25">
      <c r="A9" s="227" t="str">
        <f>TEXT('1 Récapitulation'!$E$10 &amp; "-SHR","@")</f>
        <v>-SHR</v>
      </c>
      <c r="B9" s="228" t="str">
        <f ca="1">TEXT(IF(G9&lt;&gt; 0,OFFSET(INDIRECT(rtI.Anker2b),7,0),""),"@")</f>
        <v/>
      </c>
      <c r="C9" s="227" t="s">
        <v>9</v>
      </c>
      <c r="D9" s="227" t="s">
        <v>7</v>
      </c>
      <c r="E9" s="227" t="s">
        <v>37</v>
      </c>
      <c r="F9" s="227" t="s">
        <v>38</v>
      </c>
      <c r="G9" s="229">
        <f ca="1">OFFSET(INDIRECT(rtI.Anker2b),7,2)</f>
        <v>0</v>
      </c>
      <c r="H9" s="227" t="str">
        <f t="shared" ca="1" si="0"/>
        <v/>
      </c>
      <c r="I9" s="227" t="str">
        <f t="shared" ca="1" si="4"/>
        <v/>
      </c>
      <c r="J9" s="227" t="str">
        <f t="shared" ca="1" si="1"/>
        <v/>
      </c>
      <c r="K9" s="230" t="str">
        <f t="shared" ca="1" si="2"/>
        <v/>
      </c>
      <c r="L9" s="231" t="str">
        <f t="shared" ca="1" si="3"/>
        <v/>
      </c>
    </row>
    <row r="10" spans="1:15" x14ac:dyDescent="0.25">
      <c r="A10" s="227" t="str">
        <f>TEXT('1 Récapitulation'!$E$10 &amp; "-SHR","@")</f>
        <v>-SHR</v>
      </c>
      <c r="B10" s="228" t="str">
        <f ca="1">TEXT(IF(G10&lt;&gt; 0,OFFSET(INDIRECT(rtI.Anker2b),8,0),""),"@")</f>
        <v/>
      </c>
      <c r="C10" s="227" t="s">
        <v>9</v>
      </c>
      <c r="D10" s="227" t="s">
        <v>7</v>
      </c>
      <c r="E10" s="227" t="s">
        <v>37</v>
      </c>
      <c r="F10" s="227" t="s">
        <v>38</v>
      </c>
      <c r="G10" s="229">
        <f ca="1">OFFSET(INDIRECT(rtI.Anker2b),8,2)</f>
        <v>0</v>
      </c>
      <c r="H10" s="227" t="str">
        <f t="shared" ca="1" si="0"/>
        <v/>
      </c>
      <c r="I10" s="227" t="str">
        <f t="shared" ca="1" si="4"/>
        <v/>
      </c>
      <c r="J10" s="227" t="str">
        <f t="shared" ca="1" si="1"/>
        <v/>
      </c>
      <c r="K10" s="230" t="str">
        <f t="shared" ca="1" si="2"/>
        <v/>
      </c>
      <c r="L10" s="231" t="str">
        <f t="shared" ca="1" si="3"/>
        <v/>
      </c>
    </row>
    <row r="11" spans="1:15" x14ac:dyDescent="0.25">
      <c r="A11" s="227" t="str">
        <f>TEXT('1 Récapitulation'!$E$10 &amp; "-SHR","@")</f>
        <v>-SHR</v>
      </c>
      <c r="B11" s="228" t="str">
        <f ca="1">TEXT(IF(G11&lt;&gt; 0,OFFSET(INDIRECT(rtI.Anker2b),9,0),""),"@")</f>
        <v/>
      </c>
      <c r="C11" s="227" t="s">
        <v>9</v>
      </c>
      <c r="D11" s="227" t="s">
        <v>7</v>
      </c>
      <c r="E11" s="227" t="s">
        <v>37</v>
      </c>
      <c r="F11" s="227" t="s">
        <v>38</v>
      </c>
      <c r="G11" s="229">
        <f ca="1">OFFSET(INDIRECT(rtI.Anker2b),9,2)</f>
        <v>0</v>
      </c>
      <c r="H11" s="227" t="str">
        <f t="shared" ca="1" si="0"/>
        <v/>
      </c>
      <c r="I11" s="227" t="str">
        <f t="shared" ca="1" si="4"/>
        <v/>
      </c>
      <c r="J11" s="227" t="str">
        <f t="shared" ca="1" si="1"/>
        <v/>
      </c>
      <c r="K11" s="230" t="str">
        <f t="shared" ca="1" si="2"/>
        <v/>
      </c>
      <c r="L11" s="231" t="str">
        <f t="shared" ca="1" si="3"/>
        <v/>
      </c>
    </row>
    <row r="12" spans="1:15" x14ac:dyDescent="0.25">
      <c r="A12" s="227" t="str">
        <f>TEXT('1 Récapitulation'!$E$10 &amp; "-SHR","@")</f>
        <v>-SHR</v>
      </c>
      <c r="B12" s="228" t="str">
        <f ca="1">TEXT(IF(G12&lt;&gt; 0,OFFSET(INDIRECT(rtI.Anker2b),10,0),""),"@")</f>
        <v/>
      </c>
      <c r="C12" s="227" t="s">
        <v>9</v>
      </c>
      <c r="D12" s="227" t="s">
        <v>7</v>
      </c>
      <c r="E12" s="227" t="s">
        <v>37</v>
      </c>
      <c r="F12" s="227" t="s">
        <v>38</v>
      </c>
      <c r="G12" s="229">
        <f ca="1">OFFSET(INDIRECT(rtI.Anker2b),10,2)</f>
        <v>0</v>
      </c>
      <c r="H12" s="227" t="str">
        <f t="shared" ca="1" si="0"/>
        <v/>
      </c>
      <c r="I12" s="227" t="str">
        <f t="shared" ca="1" si="4"/>
        <v/>
      </c>
      <c r="J12" s="227" t="str">
        <f t="shared" ca="1" si="1"/>
        <v/>
      </c>
      <c r="K12" s="230" t="str">
        <f t="shared" ca="1" si="2"/>
        <v/>
      </c>
      <c r="L12" s="231" t="str">
        <f t="shared" ca="1" si="3"/>
        <v/>
      </c>
    </row>
    <row r="13" spans="1:15" x14ac:dyDescent="0.25">
      <c r="A13" s="227" t="str">
        <f>TEXT('1 Récapitulation'!$E$10 &amp; "-SHR","@")</f>
        <v>-SHR</v>
      </c>
      <c r="B13" s="228" t="str">
        <f ca="1">TEXT(IF(G13&lt;&gt; 0,OFFSET(INDIRECT(rtI.Anker2b),11,0),""),"@")</f>
        <v/>
      </c>
      <c r="C13" s="227" t="s">
        <v>9</v>
      </c>
      <c r="D13" s="227" t="s">
        <v>7</v>
      </c>
      <c r="E13" s="227" t="s">
        <v>37</v>
      </c>
      <c r="F13" s="227" t="s">
        <v>38</v>
      </c>
      <c r="G13" s="229">
        <f ca="1">OFFSET(INDIRECT(rtI.Anker2b),11,2)</f>
        <v>0</v>
      </c>
      <c r="H13" s="227" t="str">
        <f t="shared" ca="1" si="0"/>
        <v/>
      </c>
      <c r="I13" s="227" t="str">
        <f t="shared" ca="1" si="4"/>
        <v/>
      </c>
      <c r="J13" s="227" t="str">
        <f t="shared" ca="1" si="1"/>
        <v/>
      </c>
      <c r="K13" s="230" t="str">
        <f t="shared" ca="1" si="2"/>
        <v/>
      </c>
      <c r="L13" s="231" t="str">
        <f t="shared" ca="1" si="3"/>
        <v/>
      </c>
    </row>
    <row r="14" spans="1:15" x14ac:dyDescent="0.25">
      <c r="A14" s="227" t="str">
        <f>TEXT('1 Récapitulation'!$E$10 &amp; "-SHR","@")</f>
        <v>-SHR</v>
      </c>
      <c r="B14" s="228" t="str">
        <f ca="1">TEXT(IF(G14&lt;&gt; 0,OFFSET(INDIRECT(rtI.Anker2b),12,0),""),"@")</f>
        <v/>
      </c>
      <c r="C14" s="227" t="s">
        <v>9</v>
      </c>
      <c r="D14" s="227" t="s">
        <v>7</v>
      </c>
      <c r="E14" s="227" t="s">
        <v>37</v>
      </c>
      <c r="F14" s="227" t="s">
        <v>38</v>
      </c>
      <c r="G14" s="229">
        <f ca="1">OFFSET(INDIRECT(rtI.Anker2b),12,2)</f>
        <v>0</v>
      </c>
      <c r="H14" s="227" t="str">
        <f t="shared" ca="1" si="0"/>
        <v/>
      </c>
      <c r="I14" s="227" t="str">
        <f t="shared" ca="1" si="4"/>
        <v/>
      </c>
      <c r="J14" s="227" t="str">
        <f t="shared" ca="1" si="1"/>
        <v/>
      </c>
      <c r="K14" s="230" t="str">
        <f t="shared" ca="1" si="2"/>
        <v/>
      </c>
      <c r="L14" s="231" t="str">
        <f t="shared" ca="1" si="3"/>
        <v/>
      </c>
    </row>
    <row r="15" spans="1:15" x14ac:dyDescent="0.25">
      <c r="A15" s="227" t="str">
        <f>TEXT('1 Récapitulation'!$E$10 &amp; "-SHR","@")</f>
        <v>-SHR</v>
      </c>
      <c r="B15" s="228" t="str">
        <f ca="1">TEXT(IF(G15&lt;&gt; 0,OFFSET(INDIRECT(rtI.Anker2b),13,0),""),"@")</f>
        <v/>
      </c>
      <c r="C15" s="227" t="s">
        <v>9</v>
      </c>
      <c r="D15" s="227" t="s">
        <v>7</v>
      </c>
      <c r="E15" s="227" t="s">
        <v>37</v>
      </c>
      <c r="F15" s="227" t="s">
        <v>38</v>
      </c>
      <c r="G15" s="229">
        <f ca="1">OFFSET(INDIRECT(rtI.Anker2b),13,2)</f>
        <v>0</v>
      </c>
      <c r="H15" s="227" t="str">
        <f t="shared" ca="1" si="0"/>
        <v/>
      </c>
      <c r="I15" s="227" t="str">
        <f t="shared" ca="1" si="4"/>
        <v/>
      </c>
      <c r="J15" s="227" t="str">
        <f t="shared" ca="1" si="1"/>
        <v/>
      </c>
      <c r="K15" s="230" t="str">
        <f t="shared" ca="1" si="2"/>
        <v/>
      </c>
      <c r="L15" s="231" t="str">
        <f t="shared" ca="1" si="3"/>
        <v/>
      </c>
    </row>
    <row r="16" spans="1:15" x14ac:dyDescent="0.25">
      <c r="A16" s="227" t="str">
        <f>TEXT('1 Récapitulation'!$E$10 &amp; "-SHR","@")</f>
        <v>-SHR</v>
      </c>
      <c r="B16" s="228" t="str">
        <f ca="1">TEXT(IF(G16&lt;&gt; 0,OFFSET(INDIRECT(rtI.Anker2b),14,0),""),"@")</f>
        <v/>
      </c>
      <c r="C16" s="227" t="s">
        <v>9</v>
      </c>
      <c r="D16" s="227" t="s">
        <v>7</v>
      </c>
      <c r="E16" s="227" t="s">
        <v>37</v>
      </c>
      <c r="F16" s="227" t="s">
        <v>38</v>
      </c>
      <c r="G16" s="229">
        <f ca="1">OFFSET(INDIRECT(rtI.Anker2b),14,2)</f>
        <v>0</v>
      </c>
      <c r="H16" s="227" t="str">
        <f t="shared" ca="1" si="0"/>
        <v/>
      </c>
      <c r="I16" s="227" t="str">
        <f t="shared" ca="1" si="4"/>
        <v/>
      </c>
      <c r="J16" s="227" t="str">
        <f t="shared" ca="1" si="1"/>
        <v/>
      </c>
      <c r="K16" s="230" t="str">
        <f t="shared" ca="1" si="2"/>
        <v/>
      </c>
      <c r="L16" s="231" t="str">
        <f t="shared" ca="1" si="3"/>
        <v/>
      </c>
    </row>
    <row r="17" spans="1:12" x14ac:dyDescent="0.25">
      <c r="A17" s="227" t="str">
        <f>TEXT('1 Récapitulation'!$E$10 &amp; "-SHR","@")</f>
        <v>-SHR</v>
      </c>
      <c r="B17" s="228" t="str">
        <f ca="1">TEXT(IF(G17&lt;&gt; 0,OFFSET(INDIRECT(rtI.Anker2b),15,0),""),"@")</f>
        <v/>
      </c>
      <c r="C17" s="227" t="s">
        <v>9</v>
      </c>
      <c r="D17" s="227" t="s">
        <v>7</v>
      </c>
      <c r="E17" s="227" t="s">
        <v>37</v>
      </c>
      <c r="F17" s="227" t="s">
        <v>38</v>
      </c>
      <c r="G17" s="229">
        <f ca="1">OFFSET(INDIRECT(rtI.Anker2b),15,2)</f>
        <v>0</v>
      </c>
      <c r="H17" s="227" t="str">
        <f t="shared" ca="1" si="0"/>
        <v/>
      </c>
      <c r="I17" s="227" t="str">
        <f t="shared" ca="1" si="4"/>
        <v/>
      </c>
      <c r="J17" s="227" t="str">
        <f t="shared" ca="1" si="1"/>
        <v/>
      </c>
      <c r="K17" s="230" t="str">
        <f t="shared" ca="1" si="2"/>
        <v/>
      </c>
      <c r="L17" s="231" t="str">
        <f t="shared" ca="1" si="3"/>
        <v/>
      </c>
    </row>
    <row r="18" spans="1:12" x14ac:dyDescent="0.25">
      <c r="A18" s="227" t="str">
        <f>TEXT('1 Récapitulation'!$E$10 &amp; "-SHR","@")</f>
        <v>-SHR</v>
      </c>
      <c r="B18" s="228" t="str">
        <f ca="1">TEXT(IF(G18&lt;&gt; 0,OFFSET(INDIRECT(rtI.Anker2b),16,0),""),"@")</f>
        <v/>
      </c>
      <c r="C18" s="227" t="s">
        <v>9</v>
      </c>
      <c r="D18" s="227" t="s">
        <v>7</v>
      </c>
      <c r="E18" s="227" t="s">
        <v>37</v>
      </c>
      <c r="F18" s="227" t="s">
        <v>38</v>
      </c>
      <c r="G18" s="229">
        <f ca="1">OFFSET(INDIRECT(rtI.Anker2b),16,2)</f>
        <v>0</v>
      </c>
      <c r="H18" s="227" t="str">
        <f t="shared" ca="1" si="0"/>
        <v/>
      </c>
      <c r="I18" s="227" t="str">
        <f t="shared" ca="1" si="4"/>
        <v/>
      </c>
      <c r="J18" s="227" t="str">
        <f t="shared" ca="1" si="1"/>
        <v/>
      </c>
      <c r="K18" s="230" t="str">
        <f t="shared" ca="1" si="2"/>
        <v/>
      </c>
      <c r="L18" s="231" t="str">
        <f t="shared" ca="1" si="3"/>
        <v/>
      </c>
    </row>
    <row r="19" spans="1:12" x14ac:dyDescent="0.25">
      <c r="A19" s="227" t="str">
        <f>TEXT('1 Récapitulation'!$E$10 &amp; "-SHR","@")</f>
        <v>-SHR</v>
      </c>
      <c r="B19" s="228" t="str">
        <f ca="1">TEXT(IF(G19&lt;&gt; 0,OFFSET(INDIRECT(rtI.Anker2b),17,0),""),"@")</f>
        <v/>
      </c>
      <c r="C19" s="227" t="s">
        <v>9</v>
      </c>
      <c r="D19" s="227" t="s">
        <v>7</v>
      </c>
      <c r="E19" s="227" t="s">
        <v>37</v>
      </c>
      <c r="F19" s="227" t="s">
        <v>38</v>
      </c>
      <c r="G19" s="229">
        <f ca="1">OFFSET(INDIRECT(rtI.Anker2b),17,2)</f>
        <v>0</v>
      </c>
      <c r="H19" s="227" t="str">
        <f t="shared" ca="1" si="0"/>
        <v/>
      </c>
      <c r="I19" s="227" t="str">
        <f t="shared" ca="1" si="4"/>
        <v/>
      </c>
      <c r="J19" s="227" t="str">
        <f t="shared" ca="1" si="1"/>
        <v/>
      </c>
      <c r="K19" s="230" t="str">
        <f t="shared" ca="1" si="2"/>
        <v/>
      </c>
      <c r="L19" s="231" t="str">
        <f t="shared" ca="1" si="3"/>
        <v/>
      </c>
    </row>
    <row r="20" spans="1:12" x14ac:dyDescent="0.25">
      <c r="A20" s="227" t="str">
        <f>TEXT('1 Récapitulation'!$E$10 &amp; "-SHR","@")</f>
        <v>-SHR</v>
      </c>
      <c r="B20" s="228" t="str">
        <f ca="1">TEXT(IF(G20&lt;&gt; 0,OFFSET(INDIRECT(rtI.Anker2b),18,0),""),"@")</f>
        <v/>
      </c>
      <c r="C20" s="227" t="s">
        <v>9</v>
      </c>
      <c r="D20" s="227" t="s">
        <v>7</v>
      </c>
      <c r="E20" s="227" t="s">
        <v>37</v>
      </c>
      <c r="F20" s="227" t="s">
        <v>38</v>
      </c>
      <c r="G20" s="229">
        <f ca="1">OFFSET(INDIRECT(rtI.Anker2b),18,2)</f>
        <v>0</v>
      </c>
      <c r="H20" s="227" t="str">
        <f t="shared" ca="1" si="0"/>
        <v/>
      </c>
      <c r="I20" s="227" t="str">
        <f t="shared" ca="1" si="4"/>
        <v/>
      </c>
      <c r="J20" s="227" t="str">
        <f t="shared" ca="1" si="1"/>
        <v/>
      </c>
      <c r="K20" s="230" t="str">
        <f t="shared" ca="1" si="2"/>
        <v/>
      </c>
      <c r="L20" s="231" t="str">
        <f t="shared" ca="1" si="3"/>
        <v/>
      </c>
    </row>
    <row r="21" spans="1:12" x14ac:dyDescent="0.25">
      <c r="A21" s="227" t="str">
        <f>TEXT('1 Récapitulation'!$E$10 &amp; "-SHR","@")</f>
        <v>-SHR</v>
      </c>
      <c r="B21" s="228" t="str">
        <f ca="1">TEXT(IF(G21&lt;&gt; 0,OFFSET(INDIRECT(rtI.Anker2b),19,0),""),"@")</f>
        <v/>
      </c>
      <c r="C21" s="227" t="s">
        <v>9</v>
      </c>
      <c r="D21" s="227" t="s">
        <v>7</v>
      </c>
      <c r="E21" s="227" t="s">
        <v>37</v>
      </c>
      <c r="F21" s="227" t="s">
        <v>38</v>
      </c>
      <c r="G21" s="229">
        <f ca="1">OFFSET(INDIRECT(rtI.Anker2b),19,2)</f>
        <v>0</v>
      </c>
      <c r="H21" s="227" t="str">
        <f t="shared" ca="1" si="0"/>
        <v/>
      </c>
      <c r="I21" s="227" t="str">
        <f t="shared" ca="1" si="4"/>
        <v/>
      </c>
      <c r="J21" s="227" t="str">
        <f t="shared" ca="1" si="1"/>
        <v/>
      </c>
      <c r="K21" s="230" t="str">
        <f t="shared" ca="1" si="2"/>
        <v/>
      </c>
      <c r="L21" s="231" t="str">
        <f t="shared" ca="1" si="3"/>
        <v/>
      </c>
    </row>
    <row r="22" spans="1:12" x14ac:dyDescent="0.25">
      <c r="A22" s="227" t="str">
        <f>TEXT('1 Récapitulation'!$E$10 &amp; "-SHR","@")</f>
        <v>-SHR</v>
      </c>
      <c r="B22" s="228" t="str">
        <f ca="1">TEXT(IF(G22&lt;&gt; 0,OFFSET(INDIRECT(rtI.Anker2b),20,0),""),"@")</f>
        <v/>
      </c>
      <c r="C22" s="227" t="s">
        <v>9</v>
      </c>
      <c r="D22" s="227" t="s">
        <v>7</v>
      </c>
      <c r="E22" s="227" t="s">
        <v>37</v>
      </c>
      <c r="F22" s="227" t="s">
        <v>38</v>
      </c>
      <c r="G22" s="229">
        <f ca="1">OFFSET(INDIRECT(rtI.Anker2b),20,2)</f>
        <v>0</v>
      </c>
      <c r="H22" s="227" t="str">
        <f t="shared" ca="1" si="0"/>
        <v/>
      </c>
      <c r="I22" s="227" t="str">
        <f t="shared" ca="1" si="4"/>
        <v/>
      </c>
      <c r="J22" s="227" t="str">
        <f t="shared" ca="1" si="1"/>
        <v/>
      </c>
      <c r="K22" s="230" t="str">
        <f t="shared" ca="1" si="2"/>
        <v/>
      </c>
      <c r="L22" s="231" t="str">
        <f t="shared" ca="1" si="3"/>
        <v/>
      </c>
    </row>
    <row r="23" spans="1:12" x14ac:dyDescent="0.25">
      <c r="A23" s="227" t="str">
        <f>TEXT('1 Récapitulation'!$E$10 &amp; "-SHR","@")</f>
        <v>-SHR</v>
      </c>
      <c r="B23" s="228" t="str">
        <f ca="1">TEXT(IF(G23&lt;&gt; 0,OFFSET(INDIRECT(rtI.Anker2b),21,0),""),"@")</f>
        <v/>
      </c>
      <c r="C23" s="227" t="s">
        <v>9</v>
      </c>
      <c r="D23" s="227" t="s">
        <v>7</v>
      </c>
      <c r="E23" s="227" t="s">
        <v>37</v>
      </c>
      <c r="F23" s="227" t="s">
        <v>38</v>
      </c>
      <c r="G23" s="229">
        <f ca="1">OFFSET(INDIRECT(rtI.Anker2b),21,2)</f>
        <v>0</v>
      </c>
      <c r="H23" s="227" t="str">
        <f t="shared" ca="1" si="0"/>
        <v/>
      </c>
      <c r="I23" s="227" t="str">
        <f t="shared" ca="1" si="4"/>
        <v/>
      </c>
      <c r="J23" s="227" t="str">
        <f t="shared" ca="1" si="1"/>
        <v/>
      </c>
      <c r="K23" s="230" t="str">
        <f t="shared" ca="1" si="2"/>
        <v/>
      </c>
      <c r="L23" s="231" t="str">
        <f t="shared" ca="1" si="3"/>
        <v/>
      </c>
    </row>
    <row r="24" spans="1:12" x14ac:dyDescent="0.25">
      <c r="A24" s="227" t="str">
        <f>TEXT('1 Récapitulation'!$E$10 &amp; "-SHR","@")</f>
        <v>-SHR</v>
      </c>
      <c r="B24" s="228" t="str">
        <f ca="1">TEXT(IF(G24&lt;&gt; 0,OFFSET(INDIRECT(rtI.Anker2b),22,0),""),"@")</f>
        <v/>
      </c>
      <c r="C24" s="227" t="s">
        <v>9</v>
      </c>
      <c r="D24" s="227" t="s">
        <v>7</v>
      </c>
      <c r="E24" s="227" t="s">
        <v>37</v>
      </c>
      <c r="F24" s="227" t="s">
        <v>38</v>
      </c>
      <c r="G24" s="229">
        <f ca="1">OFFSET(INDIRECT(rtI.Anker2b),22,2)</f>
        <v>0</v>
      </c>
      <c r="H24" s="227" t="str">
        <f t="shared" ca="1" si="0"/>
        <v/>
      </c>
      <c r="I24" s="227" t="str">
        <f t="shared" ca="1" si="4"/>
        <v/>
      </c>
      <c r="J24" s="227" t="str">
        <f t="shared" ca="1" si="1"/>
        <v/>
      </c>
      <c r="K24" s="230" t="str">
        <f t="shared" ca="1" si="2"/>
        <v/>
      </c>
      <c r="L24" s="231" t="str">
        <f t="shared" ca="1" si="3"/>
        <v/>
      </c>
    </row>
    <row r="25" spans="1:12" x14ac:dyDescent="0.25">
      <c r="A25" s="227" t="str">
        <f>TEXT('1 Récapitulation'!$E$10 &amp; "-SHR","@")</f>
        <v>-SHR</v>
      </c>
      <c r="B25" s="228" t="str">
        <f ca="1">TEXT(IF(G25&lt;&gt; 0,OFFSET(INDIRECT(rtI.Anker2b),23,0),""),"@")</f>
        <v/>
      </c>
      <c r="C25" s="227" t="s">
        <v>9</v>
      </c>
      <c r="D25" s="227" t="s">
        <v>7</v>
      </c>
      <c r="E25" s="227" t="s">
        <v>37</v>
      </c>
      <c r="F25" s="227" t="s">
        <v>38</v>
      </c>
      <c r="G25" s="229">
        <f ca="1">OFFSET(INDIRECT(rtI.Anker2b),23,2)</f>
        <v>0</v>
      </c>
      <c r="H25" s="227" t="str">
        <f t="shared" ca="1" si="0"/>
        <v/>
      </c>
      <c r="I25" s="227" t="str">
        <f t="shared" ca="1" si="4"/>
        <v/>
      </c>
      <c r="J25" s="227" t="str">
        <f t="shared" ca="1" si="1"/>
        <v/>
      </c>
      <c r="K25" s="230" t="str">
        <f t="shared" ca="1" si="2"/>
        <v/>
      </c>
      <c r="L25" s="231" t="str">
        <f t="shared" ca="1" si="3"/>
        <v/>
      </c>
    </row>
    <row r="26" spans="1:12" x14ac:dyDescent="0.25">
      <c r="A26" s="227" t="str">
        <f>TEXT('1 Récapitulation'!$E$10 &amp; "-SHR","@")</f>
        <v>-SHR</v>
      </c>
      <c r="B26" s="228" t="str">
        <f ca="1">TEXT(IF(G26&lt;&gt; 0,OFFSET(INDIRECT(rtI.Anker2b),24,0),""),"@")</f>
        <v/>
      </c>
      <c r="C26" s="227" t="s">
        <v>9</v>
      </c>
      <c r="D26" s="227" t="s">
        <v>7</v>
      </c>
      <c r="E26" s="227" t="s">
        <v>37</v>
      </c>
      <c r="F26" s="227" t="s">
        <v>38</v>
      </c>
      <c r="G26" s="229">
        <f ca="1">OFFSET(INDIRECT(rtI.Anker2b),24,2)</f>
        <v>0</v>
      </c>
      <c r="H26" s="227" t="str">
        <f t="shared" ca="1" si="0"/>
        <v/>
      </c>
      <c r="I26" s="227" t="str">
        <f t="shared" ca="1" si="4"/>
        <v/>
      </c>
      <c r="J26" s="227" t="str">
        <f t="shared" ca="1" si="1"/>
        <v/>
      </c>
      <c r="K26" s="230" t="str">
        <f t="shared" ca="1" si="2"/>
        <v/>
      </c>
      <c r="L26" s="231" t="str">
        <f t="shared" ca="1" si="3"/>
        <v/>
      </c>
    </row>
    <row r="27" spans="1:12" x14ac:dyDescent="0.25">
      <c r="A27" s="227" t="str">
        <f>TEXT('1 Récapitulation'!$E$10 &amp; "-SHR","@")</f>
        <v>-SHR</v>
      </c>
      <c r="B27" s="228" t="str">
        <f ca="1">TEXT(IF(G27&lt;&gt; 0,OFFSET(INDIRECT(rtI.Anker2b),25,0),""),"@")</f>
        <v/>
      </c>
      <c r="C27" s="227" t="s">
        <v>9</v>
      </c>
      <c r="D27" s="227" t="s">
        <v>7</v>
      </c>
      <c r="E27" s="227" t="s">
        <v>37</v>
      </c>
      <c r="F27" s="227" t="s">
        <v>38</v>
      </c>
      <c r="G27" s="229">
        <f ca="1">OFFSET(INDIRECT(rtI.Anker2b),25,2)</f>
        <v>0</v>
      </c>
      <c r="H27" s="227" t="str">
        <f t="shared" ca="1" si="0"/>
        <v/>
      </c>
      <c r="I27" s="227" t="str">
        <f t="shared" ca="1" si="4"/>
        <v/>
      </c>
      <c r="J27" s="227" t="str">
        <f t="shared" ca="1" si="1"/>
        <v/>
      </c>
      <c r="K27" s="230" t="str">
        <f t="shared" ca="1" si="2"/>
        <v/>
      </c>
      <c r="L27" s="231" t="str">
        <f t="shared" ca="1" si="3"/>
        <v/>
      </c>
    </row>
    <row r="28" spans="1:12" x14ac:dyDescent="0.25">
      <c r="A28" s="227" t="str">
        <f>TEXT('1 Récapitulation'!$E$10 &amp; "-SHR","@")</f>
        <v>-SHR</v>
      </c>
      <c r="B28" s="228" t="str">
        <f ca="1">TEXT(IF(G28&lt;&gt; 0,OFFSET(INDIRECT(rtI.Anker2b),26,0),""),"@")</f>
        <v/>
      </c>
      <c r="C28" s="227" t="s">
        <v>9</v>
      </c>
      <c r="D28" s="227" t="s">
        <v>7</v>
      </c>
      <c r="E28" s="227" t="s">
        <v>37</v>
      </c>
      <c r="F28" s="227" t="s">
        <v>38</v>
      </c>
      <c r="G28" s="229">
        <f ca="1">OFFSET(INDIRECT(rtI.Anker2b),26,2)</f>
        <v>0</v>
      </c>
      <c r="H28" s="227" t="str">
        <f t="shared" ca="1" si="0"/>
        <v/>
      </c>
      <c r="I28" s="227" t="str">
        <f t="shared" ca="1" si="4"/>
        <v/>
      </c>
      <c r="J28" s="227" t="str">
        <f t="shared" ca="1" si="1"/>
        <v/>
      </c>
      <c r="K28" s="230" t="str">
        <f t="shared" ca="1" si="2"/>
        <v/>
      </c>
      <c r="L28" s="231" t="str">
        <f t="shared" ca="1" si="3"/>
        <v/>
      </c>
    </row>
    <row r="29" spans="1:12" x14ac:dyDescent="0.25">
      <c r="A29" s="227" t="str">
        <f>TEXT('1 Récapitulation'!$E$10 &amp; "-SHR","@")</f>
        <v>-SHR</v>
      </c>
      <c r="B29" s="228" t="str">
        <f ca="1">TEXT(IF(G29&lt;&gt; 0,OFFSET(INDIRECT(rtI.Anker2b),27,0),""),"@")</f>
        <v/>
      </c>
      <c r="C29" s="227" t="s">
        <v>9</v>
      </c>
      <c r="D29" s="227" t="s">
        <v>7</v>
      </c>
      <c r="E29" s="227" t="s">
        <v>37</v>
      </c>
      <c r="F29" s="227" t="s">
        <v>38</v>
      </c>
      <c r="G29" s="229">
        <f ca="1">OFFSET(INDIRECT(rtI.Anker2b),27,2)</f>
        <v>0</v>
      </c>
      <c r="H29" s="227" t="str">
        <f t="shared" ca="1" si="0"/>
        <v/>
      </c>
      <c r="I29" s="227" t="str">
        <f t="shared" ca="1" si="4"/>
        <v/>
      </c>
      <c r="J29" s="227" t="str">
        <f t="shared" ca="1" si="1"/>
        <v/>
      </c>
      <c r="K29" s="230" t="str">
        <f t="shared" ca="1" si="2"/>
        <v/>
      </c>
      <c r="L29" s="231" t="str">
        <f t="shared" ca="1" si="3"/>
        <v/>
      </c>
    </row>
    <row r="30" spans="1:12" x14ac:dyDescent="0.25">
      <c r="A30" s="227" t="str">
        <f>TEXT('1 Récapitulation'!$E$10 &amp; "-SHR","@")</f>
        <v>-SHR</v>
      </c>
      <c r="B30" s="228" t="str">
        <f ca="1">TEXT(IF(G30&lt;&gt; 0,OFFSET(INDIRECT(rtI.Anker2b),28,0),""),"@")</f>
        <v/>
      </c>
      <c r="C30" s="227" t="s">
        <v>9</v>
      </c>
      <c r="D30" s="227" t="s">
        <v>7</v>
      </c>
      <c r="E30" s="227" t="s">
        <v>37</v>
      </c>
      <c r="F30" s="227" t="s">
        <v>38</v>
      </c>
      <c r="G30" s="229">
        <f ca="1">OFFSET(INDIRECT(rtI.Anker2b),28,2)</f>
        <v>0</v>
      </c>
      <c r="H30" s="227" t="str">
        <f t="shared" ca="1" si="0"/>
        <v/>
      </c>
      <c r="I30" s="227" t="str">
        <f t="shared" ca="1" si="4"/>
        <v/>
      </c>
      <c r="J30" s="227" t="str">
        <f t="shared" ca="1" si="1"/>
        <v/>
      </c>
      <c r="K30" s="230" t="str">
        <f t="shared" ca="1" si="2"/>
        <v/>
      </c>
      <c r="L30" s="231" t="str">
        <f t="shared" ca="1" si="3"/>
        <v/>
      </c>
    </row>
    <row r="31" spans="1:12" x14ac:dyDescent="0.25">
      <c r="A31" s="227" t="str">
        <f>TEXT('1 Récapitulation'!$E$10 &amp; "-SHR","@")</f>
        <v>-SHR</v>
      </c>
      <c r="B31" s="228" t="str">
        <f ca="1">TEXT(IF(G31&lt;&gt; 0,OFFSET(INDIRECT(rtI.Anker2b),29,0),""),"@")</f>
        <v/>
      </c>
      <c r="C31" s="227" t="s">
        <v>9</v>
      </c>
      <c r="D31" s="227" t="s">
        <v>7</v>
      </c>
      <c r="E31" s="227" t="s">
        <v>37</v>
      </c>
      <c r="F31" s="227" t="s">
        <v>38</v>
      </c>
      <c r="G31" s="229">
        <f ca="1">OFFSET(INDIRECT(rtI.Anker2b),29,2)</f>
        <v>0</v>
      </c>
      <c r="H31" s="227" t="str">
        <f t="shared" ca="1" si="0"/>
        <v/>
      </c>
      <c r="I31" s="227" t="str">
        <f t="shared" ca="1" si="4"/>
        <v/>
      </c>
      <c r="J31" s="227" t="str">
        <f t="shared" ca="1" si="1"/>
        <v/>
      </c>
      <c r="K31" s="230" t="str">
        <f t="shared" ca="1" si="2"/>
        <v/>
      </c>
      <c r="L31" s="231" t="str">
        <f t="shared" ca="1" si="3"/>
        <v/>
      </c>
    </row>
    <row r="32" spans="1:12" x14ac:dyDescent="0.25">
      <c r="A32" s="227" t="str">
        <f>TEXT('1 Récapitulation'!$E$10 &amp; "-SHR","@")</f>
        <v>-SHR</v>
      </c>
      <c r="B32" s="228" t="str">
        <f ca="1">TEXT(IF(G32&lt;&gt; 0,OFFSET(INDIRECT(rtI.Anker2b),30,0),""),"@")</f>
        <v/>
      </c>
      <c r="C32" s="227" t="s">
        <v>9</v>
      </c>
      <c r="D32" s="227" t="s">
        <v>7</v>
      </c>
      <c r="E32" s="227" t="s">
        <v>37</v>
      </c>
      <c r="F32" s="227" t="s">
        <v>38</v>
      </c>
      <c r="G32" s="229">
        <f ca="1">OFFSET(INDIRECT(rtI.Anker2b),30,2)</f>
        <v>0</v>
      </c>
      <c r="H32" s="227" t="str">
        <f t="shared" ca="1" si="0"/>
        <v/>
      </c>
      <c r="I32" s="227" t="str">
        <f t="shared" ca="1" si="4"/>
        <v/>
      </c>
      <c r="J32" s="227" t="str">
        <f t="shared" ca="1" si="1"/>
        <v/>
      </c>
      <c r="K32" s="230" t="str">
        <f t="shared" ca="1" si="2"/>
        <v/>
      </c>
      <c r="L32" s="231" t="str">
        <f t="shared" ca="1" si="3"/>
        <v/>
      </c>
    </row>
    <row r="33" spans="1:12" x14ac:dyDescent="0.25">
      <c r="A33" s="227" t="str">
        <f>TEXT('1 Récapitulation'!$E$10 &amp; "-SHR","@")</f>
        <v>-SHR</v>
      </c>
      <c r="B33" s="228" t="str">
        <f ca="1">TEXT(IF(G33&lt;&gt; 0,OFFSET(INDIRECT(rtI.Anker2b),31,0),""),"@")</f>
        <v/>
      </c>
      <c r="C33" s="227" t="s">
        <v>9</v>
      </c>
      <c r="D33" s="227" t="s">
        <v>7</v>
      </c>
      <c r="E33" s="227" t="s">
        <v>37</v>
      </c>
      <c r="F33" s="227" t="s">
        <v>38</v>
      </c>
      <c r="G33" s="229">
        <f ca="1">OFFSET(INDIRECT(rtI.Anker2b),31,2)</f>
        <v>0</v>
      </c>
      <c r="H33" s="227" t="str">
        <f t="shared" ca="1" si="0"/>
        <v/>
      </c>
      <c r="I33" s="227" t="str">
        <f t="shared" ca="1" si="4"/>
        <v/>
      </c>
      <c r="J33" s="227" t="str">
        <f t="shared" ca="1" si="1"/>
        <v/>
      </c>
      <c r="K33" s="230" t="str">
        <f t="shared" ca="1" si="2"/>
        <v/>
      </c>
      <c r="L33" s="231" t="str">
        <f t="shared" ca="1" si="3"/>
        <v/>
      </c>
    </row>
    <row r="34" spans="1:12" x14ac:dyDescent="0.25">
      <c r="A34" s="227" t="str">
        <f>TEXT('1 Récapitulation'!$E$10 &amp; "-SHR","@")</f>
        <v>-SHR</v>
      </c>
      <c r="B34" s="228" t="str">
        <f ca="1">TEXT(IF(G34&lt;&gt; 0,OFFSET(INDIRECT(rtI.Anker2b),32,0),""),"@")</f>
        <v/>
      </c>
      <c r="C34" s="227" t="s">
        <v>9</v>
      </c>
      <c r="D34" s="227" t="s">
        <v>7</v>
      </c>
      <c r="E34" s="227" t="s">
        <v>37</v>
      </c>
      <c r="F34" s="227" t="s">
        <v>38</v>
      </c>
      <c r="G34" s="229">
        <f ca="1">OFFSET(INDIRECT(rtI.Anker2b),32,2)</f>
        <v>0</v>
      </c>
      <c r="H34" s="227" t="str">
        <f t="shared" ca="1" si="0"/>
        <v/>
      </c>
      <c r="I34" s="227" t="str">
        <f t="shared" ca="1" si="4"/>
        <v/>
      </c>
      <c r="J34" s="227" t="str">
        <f t="shared" ca="1" si="1"/>
        <v/>
      </c>
      <c r="K34" s="230" t="str">
        <f t="shared" ca="1" si="2"/>
        <v/>
      </c>
      <c r="L34" s="231" t="str">
        <f t="shared" ca="1" si="3"/>
        <v/>
      </c>
    </row>
    <row r="35" spans="1:12" x14ac:dyDescent="0.25">
      <c r="A35" s="227" t="str">
        <f>TEXT('1 Récapitulation'!$E$10 &amp; "-SHR","@")</f>
        <v>-SHR</v>
      </c>
      <c r="B35" s="228" t="str">
        <f ca="1">TEXT(IF(G35&lt;&gt; 0,OFFSET(INDIRECT(rtI.Anker2b),33,0),""),"@")</f>
        <v/>
      </c>
      <c r="C35" s="227" t="s">
        <v>9</v>
      </c>
      <c r="D35" s="227" t="s">
        <v>7</v>
      </c>
      <c r="E35" s="227" t="s">
        <v>37</v>
      </c>
      <c r="F35" s="227" t="s">
        <v>38</v>
      </c>
      <c r="G35" s="229">
        <f ca="1">OFFSET(INDIRECT(rtI.Anker2b),33,2)</f>
        <v>0</v>
      </c>
      <c r="H35" s="227" t="str">
        <f t="shared" ca="1" si="0"/>
        <v/>
      </c>
      <c r="I35" s="227" t="str">
        <f t="shared" ca="1" si="4"/>
        <v/>
      </c>
      <c r="J35" s="227" t="str">
        <f t="shared" ca="1" si="1"/>
        <v/>
      </c>
      <c r="K35" s="230" t="str">
        <f t="shared" ca="1" si="2"/>
        <v/>
      </c>
      <c r="L35" s="231" t="str">
        <f t="shared" ca="1" si="3"/>
        <v/>
      </c>
    </row>
    <row r="36" spans="1:12" x14ac:dyDescent="0.25">
      <c r="A36" s="227" t="str">
        <f>TEXT('1 Récapitulation'!$E$10 &amp; "-SHR","@")</f>
        <v>-SHR</v>
      </c>
      <c r="B36" s="228" t="str">
        <f ca="1">TEXT(IF(G36&lt;&gt; 0,OFFSET(INDIRECT(rtI.Anker2b),34,0),""),"@")</f>
        <v/>
      </c>
      <c r="C36" s="227" t="s">
        <v>9</v>
      </c>
      <c r="D36" s="227" t="s">
        <v>7</v>
      </c>
      <c r="E36" s="227" t="s">
        <v>37</v>
      </c>
      <c r="F36" s="227" t="s">
        <v>38</v>
      </c>
      <c r="G36" s="229">
        <f ca="1">OFFSET(INDIRECT(rtI.Anker2b),34,2)</f>
        <v>0</v>
      </c>
      <c r="H36" s="227" t="str">
        <f t="shared" ca="1" si="0"/>
        <v/>
      </c>
      <c r="I36" s="227" t="str">
        <f t="shared" ca="1" si="4"/>
        <v/>
      </c>
      <c r="J36" s="227" t="str">
        <f t="shared" ca="1" si="1"/>
        <v/>
      </c>
      <c r="K36" s="230" t="str">
        <f t="shared" ca="1" si="2"/>
        <v/>
      </c>
      <c r="L36" s="231" t="str">
        <f t="shared" ca="1" si="3"/>
        <v/>
      </c>
    </row>
    <row r="37" spans="1:12" x14ac:dyDescent="0.25">
      <c r="A37" s="227" t="str">
        <f>TEXT('1 Récapitulation'!$E$10 &amp; "-SHR","@")</f>
        <v>-SHR</v>
      </c>
      <c r="B37" s="228" t="str">
        <f ca="1">TEXT(IF(G37&lt;&gt; 0,OFFSET(INDIRECT(rtI.Anker2b),35,0),""),"@")</f>
        <v/>
      </c>
      <c r="C37" s="227" t="s">
        <v>9</v>
      </c>
      <c r="D37" s="227" t="s">
        <v>7</v>
      </c>
      <c r="E37" s="227" t="s">
        <v>37</v>
      </c>
      <c r="F37" s="227" t="s">
        <v>38</v>
      </c>
      <c r="G37" s="229">
        <f ca="1">OFFSET(INDIRECT(rtI.Anker2b),35,2)</f>
        <v>0</v>
      </c>
      <c r="H37" s="227" t="str">
        <f t="shared" ca="1" si="0"/>
        <v/>
      </c>
      <c r="I37" s="227" t="str">
        <f t="shared" ca="1" si="4"/>
        <v/>
      </c>
      <c r="J37" s="227" t="str">
        <f t="shared" ca="1" si="1"/>
        <v/>
      </c>
      <c r="K37" s="230" t="str">
        <f t="shared" ca="1" si="2"/>
        <v/>
      </c>
      <c r="L37" s="231" t="str">
        <f t="shared" ca="1" si="3"/>
        <v/>
      </c>
    </row>
    <row r="38" spans="1:12" x14ac:dyDescent="0.25">
      <c r="A38" s="227" t="str">
        <f>TEXT('1 Récapitulation'!$E$10 &amp; "-SHR","@")</f>
        <v>-SHR</v>
      </c>
      <c r="B38" s="228" t="str">
        <f ca="1">TEXT(IF(G38&lt;&gt; 0,OFFSET(INDIRECT(rtI.Anker2b),36,0),""),"@")</f>
        <v/>
      </c>
      <c r="C38" s="227" t="s">
        <v>9</v>
      </c>
      <c r="D38" s="227" t="s">
        <v>7</v>
      </c>
      <c r="E38" s="227" t="s">
        <v>37</v>
      </c>
      <c r="F38" s="227" t="s">
        <v>38</v>
      </c>
      <c r="G38" s="229">
        <f ca="1">OFFSET(INDIRECT(rtI.Anker2b),36,2)</f>
        <v>0</v>
      </c>
      <c r="H38" s="227" t="str">
        <f t="shared" ca="1" si="0"/>
        <v/>
      </c>
      <c r="I38" s="227" t="str">
        <f t="shared" ca="1" si="4"/>
        <v/>
      </c>
      <c r="J38" s="227" t="str">
        <f t="shared" ca="1" si="1"/>
        <v/>
      </c>
      <c r="K38" s="230" t="str">
        <f t="shared" ca="1" si="2"/>
        <v/>
      </c>
      <c r="L38" s="231" t="str">
        <f t="shared" ca="1" si="3"/>
        <v/>
      </c>
    </row>
    <row r="39" spans="1:12" x14ac:dyDescent="0.25">
      <c r="A39" s="227" t="str">
        <f>TEXT('1 Récapitulation'!$E$10 &amp; "-SHR","@")</f>
        <v>-SHR</v>
      </c>
      <c r="B39" s="228" t="str">
        <f ca="1">TEXT(IF(G39&lt;&gt; 0,OFFSET(INDIRECT(rtI.Anker2b),37,0),""),"@")</f>
        <v/>
      </c>
      <c r="C39" s="227" t="s">
        <v>9</v>
      </c>
      <c r="D39" s="227" t="s">
        <v>7</v>
      </c>
      <c r="E39" s="227" t="s">
        <v>37</v>
      </c>
      <c r="F39" s="227" t="s">
        <v>38</v>
      </c>
      <c r="G39" s="229">
        <f ca="1">OFFSET(INDIRECT(rtI.Anker2b),37,2)</f>
        <v>0</v>
      </c>
      <c r="H39" s="227" t="str">
        <f t="shared" ca="1" si="0"/>
        <v/>
      </c>
      <c r="I39" s="227" t="str">
        <f t="shared" ca="1" si="4"/>
        <v/>
      </c>
      <c r="J39" s="227" t="str">
        <f t="shared" ca="1" si="1"/>
        <v/>
      </c>
      <c r="K39" s="230" t="str">
        <f t="shared" ca="1" si="2"/>
        <v/>
      </c>
      <c r="L39" s="231" t="str">
        <f t="shared" ca="1" si="3"/>
        <v/>
      </c>
    </row>
    <row r="40" spans="1:12" x14ac:dyDescent="0.25">
      <c r="A40" s="227" t="str">
        <f>TEXT('1 Récapitulation'!$E$10 &amp; "-SHR","@")</f>
        <v>-SHR</v>
      </c>
      <c r="B40" s="228" t="str">
        <f ca="1">TEXT(IF(G40&lt;&gt; 0,OFFSET(INDIRECT(rtI.Anker2b),38,0),""),"@")</f>
        <v/>
      </c>
      <c r="C40" s="227" t="s">
        <v>9</v>
      </c>
      <c r="D40" s="227" t="s">
        <v>7</v>
      </c>
      <c r="E40" s="227" t="s">
        <v>37</v>
      </c>
      <c r="F40" s="227" t="s">
        <v>38</v>
      </c>
      <c r="G40" s="229">
        <f ca="1">OFFSET(INDIRECT(rtI.Anker2b),38,2)</f>
        <v>0</v>
      </c>
      <c r="H40" s="227" t="str">
        <f t="shared" ca="1" si="0"/>
        <v/>
      </c>
      <c r="I40" s="227" t="str">
        <f t="shared" ca="1" si="4"/>
        <v/>
      </c>
      <c r="J40" s="227" t="str">
        <f t="shared" ca="1" si="1"/>
        <v/>
      </c>
      <c r="K40" s="230" t="str">
        <f t="shared" ca="1" si="2"/>
        <v/>
      </c>
      <c r="L40" s="231" t="str">
        <f t="shared" ca="1" si="3"/>
        <v/>
      </c>
    </row>
    <row r="41" spans="1:12" x14ac:dyDescent="0.25">
      <c r="A41" s="227" t="str">
        <f>TEXT('1 Récapitulation'!$E$10 &amp; "-SHR","@")</f>
        <v>-SHR</v>
      </c>
      <c r="B41" s="228" t="str">
        <f ca="1">TEXT(IF(G41&lt;&gt; 0,OFFSET(INDIRECT(rtI.Anker2b),0,0),""),"@")</f>
        <v/>
      </c>
      <c r="C41" s="227" t="s">
        <v>9</v>
      </c>
      <c r="D41" s="227" t="s">
        <v>8</v>
      </c>
      <c r="E41" s="227" t="s">
        <v>37</v>
      </c>
      <c r="F41" s="227" t="s">
        <v>41</v>
      </c>
      <c r="G41" s="229">
        <f ca="1">OFFSET(INDIRECT(rtI.Anker2b),0,3)</f>
        <v>0</v>
      </c>
      <c r="H41" s="227" t="str">
        <f t="shared" ca="1" si="0"/>
        <v/>
      </c>
      <c r="I41" s="227" t="str">
        <f t="shared" ca="1" si="4"/>
        <v/>
      </c>
      <c r="J41" s="227" t="str">
        <f t="shared" ca="1" si="1"/>
        <v/>
      </c>
      <c r="K41" s="230" t="str">
        <f t="shared" ca="1" si="2"/>
        <v/>
      </c>
      <c r="L41" s="231" t="str">
        <f t="shared" ca="1" si="3"/>
        <v/>
      </c>
    </row>
    <row r="42" spans="1:12" x14ac:dyDescent="0.25">
      <c r="A42" s="227" t="str">
        <f>TEXT('1 Récapitulation'!$E$10 &amp; "-SHR","@")</f>
        <v>-SHR</v>
      </c>
      <c r="B42" s="228" t="str">
        <f ca="1">TEXT(IF(G42&lt;&gt; 0,OFFSET(INDIRECT(rtI.Anker2b),1,0),""),"@")</f>
        <v/>
      </c>
      <c r="C42" s="227" t="s">
        <v>9</v>
      </c>
      <c r="D42" s="227" t="s">
        <v>8</v>
      </c>
      <c r="E42" s="227" t="s">
        <v>37</v>
      </c>
      <c r="F42" s="227" t="s">
        <v>41</v>
      </c>
      <c r="G42" s="229">
        <f ca="1">OFFSET(INDIRECT(rtI.Anker2b),1,3)</f>
        <v>0</v>
      </c>
      <c r="H42" s="227" t="str">
        <f t="shared" ca="1" si="0"/>
        <v/>
      </c>
      <c r="I42" s="227" t="str">
        <f t="shared" ca="1" si="4"/>
        <v/>
      </c>
      <c r="J42" s="227" t="str">
        <f t="shared" ca="1" si="1"/>
        <v/>
      </c>
      <c r="K42" s="230" t="str">
        <f t="shared" ca="1" si="2"/>
        <v/>
      </c>
      <c r="L42" s="231" t="str">
        <f t="shared" ca="1" si="3"/>
        <v/>
      </c>
    </row>
    <row r="43" spans="1:12" x14ac:dyDescent="0.25">
      <c r="A43" s="227" t="str">
        <f>TEXT('1 Récapitulation'!$E$10 &amp; "-SHR","@")</f>
        <v>-SHR</v>
      </c>
      <c r="B43" s="228" t="str">
        <f ca="1">TEXT(IF(G43&lt;&gt; 0,OFFSET(INDIRECT(rtI.Anker2b),2,0),""),"@")</f>
        <v/>
      </c>
      <c r="C43" s="227" t="s">
        <v>9</v>
      </c>
      <c r="D43" s="227" t="s">
        <v>8</v>
      </c>
      <c r="E43" s="227" t="s">
        <v>37</v>
      </c>
      <c r="F43" s="227" t="s">
        <v>41</v>
      </c>
      <c r="G43" s="229">
        <f ca="1">OFFSET(INDIRECT(rtI.Anker2b),2,3)</f>
        <v>0</v>
      </c>
      <c r="H43" s="227" t="str">
        <f t="shared" ca="1" si="0"/>
        <v/>
      </c>
      <c r="I43" s="227" t="str">
        <f t="shared" ca="1" si="4"/>
        <v/>
      </c>
      <c r="J43" s="227" t="str">
        <f t="shared" ca="1" si="1"/>
        <v/>
      </c>
      <c r="K43" s="230" t="str">
        <f t="shared" ca="1" si="2"/>
        <v/>
      </c>
      <c r="L43" s="231" t="str">
        <f t="shared" ca="1" si="3"/>
        <v/>
      </c>
    </row>
    <row r="44" spans="1:12" x14ac:dyDescent="0.25">
      <c r="A44" s="227" t="str">
        <f>TEXT('1 Récapitulation'!$E$10 &amp; "-SHR","@")</f>
        <v>-SHR</v>
      </c>
      <c r="B44" s="228" t="str">
        <f ca="1">TEXT(IF(G44&lt;&gt; 0,OFFSET(INDIRECT(rtI.Anker2b),3,0),""),"@")</f>
        <v/>
      </c>
      <c r="C44" s="227" t="s">
        <v>9</v>
      </c>
      <c r="D44" s="227" t="s">
        <v>8</v>
      </c>
      <c r="E44" s="227" t="s">
        <v>37</v>
      </c>
      <c r="F44" s="227" t="s">
        <v>41</v>
      </c>
      <c r="G44" s="229">
        <f ca="1">OFFSET(INDIRECT(rtI.Anker2b),3,3)</f>
        <v>0</v>
      </c>
      <c r="H44" s="227" t="str">
        <f t="shared" ca="1" si="0"/>
        <v/>
      </c>
      <c r="I44" s="227" t="str">
        <f t="shared" ca="1" si="4"/>
        <v/>
      </c>
      <c r="J44" s="227" t="str">
        <f t="shared" ca="1" si="1"/>
        <v/>
      </c>
      <c r="K44" s="230" t="str">
        <f t="shared" ca="1" si="2"/>
        <v/>
      </c>
      <c r="L44" s="231" t="str">
        <f t="shared" ca="1" si="3"/>
        <v/>
      </c>
    </row>
    <row r="45" spans="1:12" x14ac:dyDescent="0.25">
      <c r="A45" s="227" t="str">
        <f>TEXT('1 Récapitulation'!$E$10 &amp; "-SHR","@")</f>
        <v>-SHR</v>
      </c>
      <c r="B45" s="228" t="str">
        <f ca="1">TEXT(IF(G45&lt;&gt; 0,OFFSET(INDIRECT(rtI.Anker2b),4,0),""),"@")</f>
        <v/>
      </c>
      <c r="C45" s="227" t="s">
        <v>9</v>
      </c>
      <c r="D45" s="227" t="s">
        <v>8</v>
      </c>
      <c r="E45" s="227" t="s">
        <v>37</v>
      </c>
      <c r="F45" s="227" t="s">
        <v>41</v>
      </c>
      <c r="G45" s="229">
        <f ca="1">OFFSET(INDIRECT(rtI.Anker2b),4,3)</f>
        <v>0</v>
      </c>
      <c r="H45" s="227" t="str">
        <f t="shared" ca="1" si="0"/>
        <v/>
      </c>
      <c r="I45" s="227" t="str">
        <f t="shared" ca="1" si="4"/>
        <v/>
      </c>
      <c r="J45" s="227" t="str">
        <f t="shared" ca="1" si="1"/>
        <v/>
      </c>
      <c r="K45" s="230" t="str">
        <f t="shared" ca="1" si="2"/>
        <v/>
      </c>
      <c r="L45" s="231" t="str">
        <f t="shared" ca="1" si="3"/>
        <v/>
      </c>
    </row>
    <row r="46" spans="1:12" x14ac:dyDescent="0.25">
      <c r="A46" s="227" t="str">
        <f>TEXT('1 Récapitulation'!$E$10 &amp; "-SHR","@")</f>
        <v>-SHR</v>
      </c>
      <c r="B46" s="228" t="str">
        <f ca="1">TEXT(IF(G46&lt;&gt; 0,OFFSET(INDIRECT(rtI.Anker2b),5,0),""),"@")</f>
        <v/>
      </c>
      <c r="C46" s="227" t="s">
        <v>9</v>
      </c>
      <c r="D46" s="227" t="s">
        <v>8</v>
      </c>
      <c r="E46" s="227" t="s">
        <v>37</v>
      </c>
      <c r="F46" s="227" t="s">
        <v>41</v>
      </c>
      <c r="G46" s="229">
        <f ca="1">OFFSET(INDIRECT(rtI.Anker2b),5,3)</f>
        <v>0</v>
      </c>
      <c r="H46" s="227" t="str">
        <f t="shared" ca="1" si="0"/>
        <v/>
      </c>
      <c r="I46" s="227" t="str">
        <f t="shared" ca="1" si="4"/>
        <v/>
      </c>
      <c r="J46" s="227" t="str">
        <f t="shared" ca="1" si="1"/>
        <v/>
      </c>
      <c r="K46" s="230" t="str">
        <f t="shared" ca="1" si="2"/>
        <v/>
      </c>
      <c r="L46" s="231" t="str">
        <f t="shared" ca="1" si="3"/>
        <v/>
      </c>
    </row>
    <row r="47" spans="1:12" x14ac:dyDescent="0.25">
      <c r="A47" s="227" t="str">
        <f>TEXT('1 Récapitulation'!$E$10 &amp; "-SHR","@")</f>
        <v>-SHR</v>
      </c>
      <c r="B47" s="228" t="str">
        <f ca="1">TEXT(IF(G47&lt;&gt; 0,OFFSET(INDIRECT(rtI.Anker2b),6,0),""),"@")</f>
        <v/>
      </c>
      <c r="C47" s="227" t="s">
        <v>9</v>
      </c>
      <c r="D47" s="227" t="s">
        <v>8</v>
      </c>
      <c r="E47" s="227" t="s">
        <v>37</v>
      </c>
      <c r="F47" s="227" t="s">
        <v>41</v>
      </c>
      <c r="G47" s="229">
        <f ca="1">OFFSET(INDIRECT(rtI.Anker2b),6,3)</f>
        <v>0</v>
      </c>
      <c r="H47" s="227" t="str">
        <f t="shared" ca="1" si="0"/>
        <v/>
      </c>
      <c r="I47" s="227" t="str">
        <f t="shared" ca="1" si="4"/>
        <v/>
      </c>
      <c r="J47" s="227" t="str">
        <f t="shared" ca="1" si="1"/>
        <v/>
      </c>
      <c r="K47" s="230" t="str">
        <f t="shared" ca="1" si="2"/>
        <v/>
      </c>
      <c r="L47" s="231" t="str">
        <f t="shared" ca="1" si="3"/>
        <v/>
      </c>
    </row>
    <row r="48" spans="1:12" x14ac:dyDescent="0.25">
      <c r="A48" s="227" t="str">
        <f>TEXT('1 Récapitulation'!$E$10 &amp; "-SHR","@")</f>
        <v>-SHR</v>
      </c>
      <c r="B48" s="228" t="str">
        <f ca="1">TEXT(IF(G48&lt;&gt; 0,OFFSET(INDIRECT(rtI.Anker2b),7,0),""),"@")</f>
        <v/>
      </c>
      <c r="C48" s="227" t="s">
        <v>9</v>
      </c>
      <c r="D48" s="227" t="s">
        <v>8</v>
      </c>
      <c r="E48" s="227" t="s">
        <v>37</v>
      </c>
      <c r="F48" s="227" t="s">
        <v>41</v>
      </c>
      <c r="G48" s="229">
        <f ca="1">OFFSET(INDIRECT(rtI.Anker2b),7,3)</f>
        <v>0</v>
      </c>
      <c r="H48" s="227" t="str">
        <f t="shared" ca="1" si="0"/>
        <v/>
      </c>
      <c r="I48" s="227" t="str">
        <f t="shared" ca="1" si="4"/>
        <v/>
      </c>
      <c r="J48" s="227" t="str">
        <f t="shared" ca="1" si="1"/>
        <v/>
      </c>
      <c r="K48" s="230" t="str">
        <f t="shared" ca="1" si="2"/>
        <v/>
      </c>
      <c r="L48" s="231" t="str">
        <f t="shared" ca="1" si="3"/>
        <v/>
      </c>
    </row>
    <row r="49" spans="1:12" x14ac:dyDescent="0.25">
      <c r="A49" s="227" t="str">
        <f>TEXT('1 Récapitulation'!$E$10 &amp; "-SHR","@")</f>
        <v>-SHR</v>
      </c>
      <c r="B49" s="228" t="str">
        <f ca="1">TEXT(IF(G49&lt;&gt; 0,OFFSET(INDIRECT(rtI.Anker2b),8,0),""),"@")</f>
        <v/>
      </c>
      <c r="C49" s="227" t="s">
        <v>9</v>
      </c>
      <c r="D49" s="227" t="s">
        <v>8</v>
      </c>
      <c r="E49" s="227" t="s">
        <v>37</v>
      </c>
      <c r="F49" s="227" t="s">
        <v>41</v>
      </c>
      <c r="G49" s="229">
        <f ca="1">OFFSET(INDIRECT(rtI.Anker2b),8,3)</f>
        <v>0</v>
      </c>
      <c r="H49" s="227" t="str">
        <f t="shared" ca="1" si="0"/>
        <v/>
      </c>
      <c r="I49" s="227" t="str">
        <f t="shared" ca="1" si="4"/>
        <v/>
      </c>
      <c r="J49" s="227" t="str">
        <f t="shared" ca="1" si="1"/>
        <v/>
      </c>
      <c r="K49" s="230" t="str">
        <f t="shared" ca="1" si="2"/>
        <v/>
      </c>
      <c r="L49" s="231" t="str">
        <f t="shared" ca="1" si="3"/>
        <v/>
      </c>
    </row>
    <row r="50" spans="1:12" x14ac:dyDescent="0.25">
      <c r="A50" s="227" t="str">
        <f>TEXT('1 Récapitulation'!$E$10 &amp; "-SHR","@")</f>
        <v>-SHR</v>
      </c>
      <c r="B50" s="228" t="str">
        <f ca="1">TEXT(IF(G50&lt;&gt; 0,OFFSET(INDIRECT(rtI.Anker2b),9,0),""),"@")</f>
        <v/>
      </c>
      <c r="C50" s="227" t="s">
        <v>9</v>
      </c>
      <c r="D50" s="227" t="s">
        <v>8</v>
      </c>
      <c r="E50" s="227" t="s">
        <v>37</v>
      </c>
      <c r="F50" s="227" t="s">
        <v>41</v>
      </c>
      <c r="G50" s="229">
        <f ca="1">OFFSET(INDIRECT(rtI.Anker2b),9,3)</f>
        <v>0</v>
      </c>
      <c r="H50" s="227" t="str">
        <f t="shared" ca="1" si="0"/>
        <v/>
      </c>
      <c r="I50" s="227" t="str">
        <f t="shared" ca="1" si="4"/>
        <v/>
      </c>
      <c r="J50" s="227" t="str">
        <f t="shared" ca="1" si="1"/>
        <v/>
      </c>
      <c r="K50" s="230" t="str">
        <f t="shared" ca="1" si="2"/>
        <v/>
      </c>
      <c r="L50" s="231" t="str">
        <f t="shared" ca="1" si="3"/>
        <v/>
      </c>
    </row>
    <row r="51" spans="1:12" x14ac:dyDescent="0.25">
      <c r="A51" s="227" t="str">
        <f>TEXT('1 Récapitulation'!$E$10 &amp; "-SHR","@")</f>
        <v>-SHR</v>
      </c>
      <c r="B51" s="228" t="str">
        <f ca="1">TEXT(IF(G51&lt;&gt; 0,OFFSET(INDIRECT(rtI.Anker2b),10,0),""),"@")</f>
        <v/>
      </c>
      <c r="C51" s="227" t="s">
        <v>9</v>
      </c>
      <c r="D51" s="227" t="s">
        <v>8</v>
      </c>
      <c r="E51" s="227" t="s">
        <v>37</v>
      </c>
      <c r="F51" s="227" t="s">
        <v>41</v>
      </c>
      <c r="G51" s="229">
        <f ca="1">OFFSET(INDIRECT(rtI.Anker2b),10,3)</f>
        <v>0</v>
      </c>
      <c r="H51" s="227" t="str">
        <f t="shared" ca="1" si="0"/>
        <v/>
      </c>
      <c r="I51" s="227" t="str">
        <f t="shared" ca="1" si="4"/>
        <v/>
      </c>
      <c r="J51" s="227" t="str">
        <f t="shared" ca="1" si="1"/>
        <v/>
      </c>
      <c r="K51" s="230" t="str">
        <f t="shared" ca="1" si="2"/>
        <v/>
      </c>
      <c r="L51" s="231" t="str">
        <f t="shared" ca="1" si="3"/>
        <v/>
      </c>
    </row>
    <row r="52" spans="1:12" x14ac:dyDescent="0.25">
      <c r="A52" s="227" t="str">
        <f>TEXT('1 Récapitulation'!$E$10 &amp; "-SHR","@")</f>
        <v>-SHR</v>
      </c>
      <c r="B52" s="228" t="str">
        <f ca="1">TEXT(IF(G52&lt;&gt; 0,OFFSET(INDIRECT(rtI.Anker2b),11,0),""),"@")</f>
        <v/>
      </c>
      <c r="C52" s="227" t="s">
        <v>9</v>
      </c>
      <c r="D52" s="227" t="s">
        <v>8</v>
      </c>
      <c r="E52" s="227" t="s">
        <v>37</v>
      </c>
      <c r="F52" s="227" t="s">
        <v>41</v>
      </c>
      <c r="G52" s="229">
        <f ca="1">OFFSET(INDIRECT(rtI.Anker2b),11,3)</f>
        <v>0</v>
      </c>
      <c r="H52" s="227" t="str">
        <f t="shared" ca="1" si="0"/>
        <v/>
      </c>
      <c r="I52" s="227" t="str">
        <f t="shared" ca="1" si="4"/>
        <v/>
      </c>
      <c r="J52" s="227" t="str">
        <f t="shared" ca="1" si="1"/>
        <v/>
      </c>
      <c r="K52" s="230" t="str">
        <f t="shared" ca="1" si="2"/>
        <v/>
      </c>
      <c r="L52" s="231" t="str">
        <f t="shared" ca="1" si="3"/>
        <v/>
      </c>
    </row>
    <row r="53" spans="1:12" x14ac:dyDescent="0.25">
      <c r="A53" s="227" t="str">
        <f>TEXT('1 Récapitulation'!$E$10 &amp; "-SHR","@")</f>
        <v>-SHR</v>
      </c>
      <c r="B53" s="228" t="str">
        <f ca="1">TEXT(IF(G53&lt;&gt; 0,OFFSET(INDIRECT(rtI.Anker2b),12,0),""),"@")</f>
        <v/>
      </c>
      <c r="C53" s="227" t="s">
        <v>9</v>
      </c>
      <c r="D53" s="227" t="s">
        <v>8</v>
      </c>
      <c r="E53" s="227" t="s">
        <v>37</v>
      </c>
      <c r="F53" s="227" t="s">
        <v>41</v>
      </c>
      <c r="G53" s="229">
        <f ca="1">OFFSET(INDIRECT(rtI.Anker2b),12,3)</f>
        <v>0</v>
      </c>
      <c r="H53" s="227" t="str">
        <f t="shared" ca="1" si="0"/>
        <v/>
      </c>
      <c r="I53" s="227" t="str">
        <f t="shared" ca="1" si="4"/>
        <v/>
      </c>
      <c r="J53" s="227" t="str">
        <f t="shared" ca="1" si="1"/>
        <v/>
      </c>
      <c r="K53" s="230" t="str">
        <f t="shared" ca="1" si="2"/>
        <v/>
      </c>
      <c r="L53" s="231" t="str">
        <f t="shared" ca="1" si="3"/>
        <v/>
      </c>
    </row>
    <row r="54" spans="1:12" x14ac:dyDescent="0.25">
      <c r="A54" s="227" t="str">
        <f>TEXT('1 Récapitulation'!$E$10 &amp; "-SHR","@")</f>
        <v>-SHR</v>
      </c>
      <c r="B54" s="228" t="str">
        <f ca="1">TEXT(IF(G54&lt;&gt; 0,OFFSET(INDIRECT(rtI.Anker2b),13,0),""),"@")</f>
        <v/>
      </c>
      <c r="C54" s="227" t="s">
        <v>9</v>
      </c>
      <c r="D54" s="227" t="s">
        <v>8</v>
      </c>
      <c r="E54" s="227" t="s">
        <v>37</v>
      </c>
      <c r="F54" s="227" t="s">
        <v>41</v>
      </c>
      <c r="G54" s="229">
        <f ca="1">OFFSET(INDIRECT(rtI.Anker2b),13,3)</f>
        <v>0</v>
      </c>
      <c r="H54" s="227" t="str">
        <f t="shared" ca="1" si="0"/>
        <v/>
      </c>
      <c r="I54" s="227" t="str">
        <f t="shared" ca="1" si="4"/>
        <v/>
      </c>
      <c r="J54" s="227" t="str">
        <f t="shared" ca="1" si="1"/>
        <v/>
      </c>
      <c r="K54" s="230" t="str">
        <f t="shared" ca="1" si="2"/>
        <v/>
      </c>
      <c r="L54" s="231" t="str">
        <f t="shared" ca="1" si="3"/>
        <v/>
      </c>
    </row>
    <row r="55" spans="1:12" x14ac:dyDescent="0.25">
      <c r="A55" s="227" t="str">
        <f>TEXT('1 Récapitulation'!$E$10 &amp; "-SHR","@")</f>
        <v>-SHR</v>
      </c>
      <c r="B55" s="228" t="str">
        <f ca="1">TEXT(IF(G55&lt;&gt; 0,OFFSET(INDIRECT(rtI.Anker2b),14,0),""),"@")</f>
        <v/>
      </c>
      <c r="C55" s="227" t="s">
        <v>9</v>
      </c>
      <c r="D55" s="227" t="s">
        <v>8</v>
      </c>
      <c r="E55" s="227" t="s">
        <v>37</v>
      </c>
      <c r="F55" s="227" t="s">
        <v>41</v>
      </c>
      <c r="G55" s="229">
        <f ca="1">OFFSET(INDIRECT(rtI.Anker2b),14,3)</f>
        <v>0</v>
      </c>
      <c r="H55" s="227" t="str">
        <f t="shared" ca="1" si="0"/>
        <v/>
      </c>
      <c r="I55" s="227" t="str">
        <f t="shared" ca="1" si="4"/>
        <v/>
      </c>
      <c r="J55" s="227" t="str">
        <f t="shared" ca="1" si="1"/>
        <v/>
      </c>
      <c r="K55" s="230" t="str">
        <f t="shared" ca="1" si="2"/>
        <v/>
      </c>
      <c r="L55" s="231" t="str">
        <f t="shared" ca="1" si="3"/>
        <v/>
      </c>
    </row>
    <row r="56" spans="1:12" x14ac:dyDescent="0.25">
      <c r="A56" s="227" t="str">
        <f>TEXT('1 Récapitulation'!$E$10 &amp; "-SHR","@")</f>
        <v>-SHR</v>
      </c>
      <c r="B56" s="228" t="str">
        <f ca="1">TEXT(IF(G56&lt;&gt; 0,OFFSET(INDIRECT(rtI.Anker2b),15,0),""),"@")</f>
        <v/>
      </c>
      <c r="C56" s="227" t="s">
        <v>9</v>
      </c>
      <c r="D56" s="227" t="s">
        <v>8</v>
      </c>
      <c r="E56" s="227" t="s">
        <v>37</v>
      </c>
      <c r="F56" s="227" t="s">
        <v>41</v>
      </c>
      <c r="G56" s="229">
        <f ca="1">OFFSET(INDIRECT(rtI.Anker2b),15,3)</f>
        <v>0</v>
      </c>
      <c r="H56" s="227" t="str">
        <f t="shared" ca="1" si="0"/>
        <v/>
      </c>
      <c r="I56" s="227" t="str">
        <f t="shared" ca="1" si="4"/>
        <v/>
      </c>
      <c r="J56" s="227" t="str">
        <f t="shared" ca="1" si="1"/>
        <v/>
      </c>
      <c r="K56" s="230" t="str">
        <f t="shared" ca="1" si="2"/>
        <v/>
      </c>
      <c r="L56" s="231" t="str">
        <f t="shared" ca="1" si="3"/>
        <v/>
      </c>
    </row>
    <row r="57" spans="1:12" x14ac:dyDescent="0.25">
      <c r="A57" s="227" t="str">
        <f>TEXT('1 Récapitulation'!$E$10 &amp; "-SHR","@")</f>
        <v>-SHR</v>
      </c>
      <c r="B57" s="228" t="str">
        <f ca="1">TEXT(IF(G57&lt;&gt; 0,OFFSET(INDIRECT(rtI.Anker2b),16,0),""),"@")</f>
        <v/>
      </c>
      <c r="C57" s="227" t="s">
        <v>9</v>
      </c>
      <c r="D57" s="227" t="s">
        <v>8</v>
      </c>
      <c r="E57" s="227" t="s">
        <v>37</v>
      </c>
      <c r="F57" s="227" t="s">
        <v>41</v>
      </c>
      <c r="G57" s="229">
        <f ca="1">OFFSET(INDIRECT(rtI.Anker2b),16,3)</f>
        <v>0</v>
      </c>
      <c r="H57" s="227" t="str">
        <f t="shared" ca="1" si="0"/>
        <v/>
      </c>
      <c r="I57" s="227" t="str">
        <f t="shared" ca="1" si="4"/>
        <v/>
      </c>
      <c r="J57" s="227" t="str">
        <f t="shared" ca="1" si="1"/>
        <v/>
      </c>
      <c r="K57" s="230" t="str">
        <f t="shared" ca="1" si="2"/>
        <v/>
      </c>
      <c r="L57" s="231" t="str">
        <f t="shared" ca="1" si="3"/>
        <v/>
      </c>
    </row>
    <row r="58" spans="1:12" x14ac:dyDescent="0.25">
      <c r="A58" s="227" t="str">
        <f>TEXT('1 Récapitulation'!$E$10 &amp; "-SHR","@")</f>
        <v>-SHR</v>
      </c>
      <c r="B58" s="228" t="str">
        <f ca="1">TEXT(IF(G58&lt;&gt; 0,OFFSET(INDIRECT(rtI.Anker2b),17,0),""),"@")</f>
        <v/>
      </c>
      <c r="C58" s="227" t="s">
        <v>9</v>
      </c>
      <c r="D58" s="227" t="s">
        <v>8</v>
      </c>
      <c r="E58" s="227" t="s">
        <v>37</v>
      </c>
      <c r="F58" s="227" t="s">
        <v>41</v>
      </c>
      <c r="G58" s="229">
        <f ca="1">OFFSET(INDIRECT(rtI.Anker2b),17,3)</f>
        <v>0</v>
      </c>
      <c r="H58" s="227" t="str">
        <f t="shared" ca="1" si="0"/>
        <v/>
      </c>
      <c r="I58" s="227" t="str">
        <f t="shared" ca="1" si="4"/>
        <v/>
      </c>
      <c r="J58" s="227" t="str">
        <f t="shared" ca="1" si="1"/>
        <v/>
      </c>
      <c r="K58" s="230" t="str">
        <f t="shared" ca="1" si="2"/>
        <v/>
      </c>
      <c r="L58" s="231" t="str">
        <f t="shared" ca="1" si="3"/>
        <v/>
      </c>
    </row>
    <row r="59" spans="1:12" x14ac:dyDescent="0.25">
      <c r="A59" s="227" t="str">
        <f>TEXT('1 Récapitulation'!$E$10 &amp; "-SHR","@")</f>
        <v>-SHR</v>
      </c>
      <c r="B59" s="228" t="str">
        <f ca="1">TEXT(IF(G59&lt;&gt; 0,OFFSET(INDIRECT(rtI.Anker2b),18,0),""),"@")</f>
        <v/>
      </c>
      <c r="C59" s="227" t="s">
        <v>9</v>
      </c>
      <c r="D59" s="227" t="s">
        <v>8</v>
      </c>
      <c r="E59" s="227" t="s">
        <v>37</v>
      </c>
      <c r="F59" s="227" t="s">
        <v>41</v>
      </c>
      <c r="G59" s="229">
        <f ca="1">OFFSET(INDIRECT(rtI.Anker2b),18,3)</f>
        <v>0</v>
      </c>
      <c r="H59" s="227" t="str">
        <f t="shared" ca="1" si="0"/>
        <v/>
      </c>
      <c r="I59" s="227" t="str">
        <f t="shared" ca="1" si="4"/>
        <v/>
      </c>
      <c r="J59" s="227" t="str">
        <f t="shared" ca="1" si="1"/>
        <v/>
      </c>
      <c r="K59" s="230" t="str">
        <f t="shared" ca="1" si="2"/>
        <v/>
      </c>
      <c r="L59" s="231" t="str">
        <f t="shared" ca="1" si="3"/>
        <v/>
      </c>
    </row>
    <row r="60" spans="1:12" x14ac:dyDescent="0.25">
      <c r="A60" s="227" t="str">
        <f>TEXT('1 Récapitulation'!$E$10 &amp; "-SHR","@")</f>
        <v>-SHR</v>
      </c>
      <c r="B60" s="228" t="str">
        <f ca="1">TEXT(IF(G60&lt;&gt; 0,OFFSET(INDIRECT(rtI.Anker2b),19,0),""),"@")</f>
        <v/>
      </c>
      <c r="C60" s="227" t="s">
        <v>9</v>
      </c>
      <c r="D60" s="227" t="s">
        <v>8</v>
      </c>
      <c r="E60" s="227" t="s">
        <v>37</v>
      </c>
      <c r="F60" s="227" t="s">
        <v>41</v>
      </c>
      <c r="G60" s="229">
        <f ca="1">OFFSET(INDIRECT(rtI.Anker2b),19,3)</f>
        <v>0</v>
      </c>
      <c r="H60" s="227" t="str">
        <f t="shared" ca="1" si="0"/>
        <v/>
      </c>
      <c r="I60" s="227" t="str">
        <f t="shared" ca="1" si="4"/>
        <v/>
      </c>
      <c r="J60" s="227" t="str">
        <f t="shared" ca="1" si="1"/>
        <v/>
      </c>
      <c r="K60" s="230" t="str">
        <f t="shared" ca="1" si="2"/>
        <v/>
      </c>
      <c r="L60" s="231" t="str">
        <f t="shared" ca="1" si="3"/>
        <v/>
      </c>
    </row>
    <row r="61" spans="1:12" x14ac:dyDescent="0.25">
      <c r="A61" s="227" t="str">
        <f>TEXT('1 Récapitulation'!$E$10 &amp; "-SHR","@")</f>
        <v>-SHR</v>
      </c>
      <c r="B61" s="228" t="str">
        <f ca="1">TEXT(IF(G61&lt;&gt; 0,OFFSET(INDIRECT(rtI.Anker2b),20,0),""),"@")</f>
        <v/>
      </c>
      <c r="C61" s="227" t="s">
        <v>9</v>
      </c>
      <c r="D61" s="227" t="s">
        <v>8</v>
      </c>
      <c r="E61" s="227" t="s">
        <v>37</v>
      </c>
      <c r="F61" s="227" t="s">
        <v>41</v>
      </c>
      <c r="G61" s="229">
        <f ca="1">OFFSET(INDIRECT(rtI.Anker2b),20,3)</f>
        <v>0</v>
      </c>
      <c r="H61" s="227" t="str">
        <f t="shared" ca="1" si="0"/>
        <v/>
      </c>
      <c r="I61" s="227" t="str">
        <f t="shared" ca="1" si="4"/>
        <v/>
      </c>
      <c r="J61" s="227" t="str">
        <f t="shared" ca="1" si="1"/>
        <v/>
      </c>
      <c r="K61" s="230" t="str">
        <f t="shared" ca="1" si="2"/>
        <v/>
      </c>
      <c r="L61" s="231" t="str">
        <f t="shared" ca="1" si="3"/>
        <v/>
      </c>
    </row>
    <row r="62" spans="1:12" x14ac:dyDescent="0.25">
      <c r="A62" s="227" t="str">
        <f>TEXT('1 Récapitulation'!$E$10 &amp; "-SHR","@")</f>
        <v>-SHR</v>
      </c>
      <c r="B62" s="228" t="str">
        <f ca="1">TEXT(IF(G62&lt;&gt; 0,OFFSET(INDIRECT(rtI.Anker2b),21,0),""),"@")</f>
        <v/>
      </c>
      <c r="C62" s="227" t="s">
        <v>9</v>
      </c>
      <c r="D62" s="227" t="s">
        <v>8</v>
      </c>
      <c r="E62" s="227" t="s">
        <v>37</v>
      </c>
      <c r="F62" s="227" t="s">
        <v>41</v>
      </c>
      <c r="G62" s="229">
        <f ca="1">OFFSET(INDIRECT(rtI.Anker2b),21,3)</f>
        <v>0</v>
      </c>
      <c r="H62" s="227" t="str">
        <f t="shared" ca="1" si="0"/>
        <v/>
      </c>
      <c r="I62" s="227" t="str">
        <f t="shared" ca="1" si="4"/>
        <v/>
      </c>
      <c r="J62" s="227" t="str">
        <f t="shared" ca="1" si="1"/>
        <v/>
      </c>
      <c r="K62" s="230" t="str">
        <f t="shared" ca="1" si="2"/>
        <v/>
      </c>
      <c r="L62" s="231" t="str">
        <f t="shared" ca="1" si="3"/>
        <v/>
      </c>
    </row>
    <row r="63" spans="1:12" x14ac:dyDescent="0.25">
      <c r="A63" s="227" t="str">
        <f>TEXT('1 Récapitulation'!$E$10 &amp; "-SHR","@")</f>
        <v>-SHR</v>
      </c>
      <c r="B63" s="228" t="str">
        <f ca="1">TEXT(IF(G63&lt;&gt; 0,OFFSET(INDIRECT(rtI.Anker2b),22,0),""),"@")</f>
        <v/>
      </c>
      <c r="C63" s="227" t="s">
        <v>9</v>
      </c>
      <c r="D63" s="227" t="s">
        <v>8</v>
      </c>
      <c r="E63" s="227" t="s">
        <v>37</v>
      </c>
      <c r="F63" s="227" t="s">
        <v>41</v>
      </c>
      <c r="G63" s="229">
        <f ca="1">OFFSET(INDIRECT(rtI.Anker2b),22,3)</f>
        <v>0</v>
      </c>
      <c r="H63" s="227" t="str">
        <f t="shared" ca="1" si="0"/>
        <v/>
      </c>
      <c r="I63" s="227" t="str">
        <f t="shared" ca="1" si="4"/>
        <v/>
      </c>
      <c r="J63" s="227" t="str">
        <f t="shared" ca="1" si="1"/>
        <v/>
      </c>
      <c r="K63" s="230" t="str">
        <f t="shared" ca="1" si="2"/>
        <v/>
      </c>
      <c r="L63" s="231" t="str">
        <f t="shared" ca="1" si="3"/>
        <v/>
      </c>
    </row>
    <row r="64" spans="1:12" x14ac:dyDescent="0.25">
      <c r="A64" s="227" t="str">
        <f>TEXT('1 Récapitulation'!$E$10 &amp; "-SHR","@")</f>
        <v>-SHR</v>
      </c>
      <c r="B64" s="228" t="str">
        <f ca="1">TEXT(IF(G64&lt;&gt; 0,OFFSET(INDIRECT(rtI.Anker2b),23,0),""),"@")</f>
        <v/>
      </c>
      <c r="C64" s="227" t="s">
        <v>9</v>
      </c>
      <c r="D64" s="227" t="s">
        <v>8</v>
      </c>
      <c r="E64" s="227" t="s">
        <v>37</v>
      </c>
      <c r="F64" s="227" t="s">
        <v>41</v>
      </c>
      <c r="G64" s="229">
        <f ca="1">OFFSET(INDIRECT(rtI.Anker2b),23,3)</f>
        <v>0</v>
      </c>
      <c r="H64" s="227" t="str">
        <f t="shared" ca="1" si="0"/>
        <v/>
      </c>
      <c r="I64" s="227" t="str">
        <f t="shared" ca="1" si="4"/>
        <v/>
      </c>
      <c r="J64" s="227" t="str">
        <f t="shared" ca="1" si="1"/>
        <v/>
      </c>
      <c r="K64" s="230" t="str">
        <f t="shared" ca="1" si="2"/>
        <v/>
      </c>
      <c r="L64" s="231" t="str">
        <f t="shared" ca="1" si="3"/>
        <v/>
      </c>
    </row>
    <row r="65" spans="1:12" x14ac:dyDescent="0.25">
      <c r="A65" s="227" t="str">
        <f>TEXT('1 Récapitulation'!$E$10 &amp; "-SHR","@")</f>
        <v>-SHR</v>
      </c>
      <c r="B65" s="228" t="str">
        <f ca="1">TEXT(IF(G65&lt;&gt; 0,OFFSET(INDIRECT(rtI.Anker2b),24,0),""),"@")</f>
        <v/>
      </c>
      <c r="C65" s="227" t="s">
        <v>9</v>
      </c>
      <c r="D65" s="227" t="s">
        <v>8</v>
      </c>
      <c r="E65" s="227" t="s">
        <v>37</v>
      </c>
      <c r="F65" s="227" t="s">
        <v>41</v>
      </c>
      <c r="G65" s="229">
        <f ca="1">OFFSET(INDIRECT(rtI.Anker2b),24,3)</f>
        <v>0</v>
      </c>
      <c r="H65" s="227" t="str">
        <f t="shared" ca="1" si="0"/>
        <v/>
      </c>
      <c r="I65" s="227" t="str">
        <f t="shared" ca="1" si="4"/>
        <v/>
      </c>
      <c r="J65" s="227" t="str">
        <f t="shared" ca="1" si="1"/>
        <v/>
      </c>
      <c r="K65" s="230" t="str">
        <f t="shared" ca="1" si="2"/>
        <v/>
      </c>
      <c r="L65" s="231" t="str">
        <f t="shared" ca="1" si="3"/>
        <v/>
      </c>
    </row>
    <row r="66" spans="1:12" x14ac:dyDescent="0.25">
      <c r="A66" s="227" t="str">
        <f>TEXT('1 Récapitulation'!$E$10 &amp; "-SHR","@")</f>
        <v>-SHR</v>
      </c>
      <c r="B66" s="228" t="str">
        <f ca="1">TEXT(IF(G66&lt;&gt; 0,OFFSET(INDIRECT(rtI.Anker2b),25,0),""),"@")</f>
        <v/>
      </c>
      <c r="C66" s="227" t="s">
        <v>9</v>
      </c>
      <c r="D66" s="227" t="s">
        <v>8</v>
      </c>
      <c r="E66" s="227" t="s">
        <v>37</v>
      </c>
      <c r="F66" s="227" t="s">
        <v>41</v>
      </c>
      <c r="G66" s="229">
        <f ca="1">OFFSET(INDIRECT(rtI.Anker2b),25,3)</f>
        <v>0</v>
      </c>
      <c r="H66" s="227" t="str">
        <f t="shared" ref="H66:H129" ca="1" si="5">IF(G66&lt;&gt;0,IF(F66="1000","Aufwand",IF(OR(F66="1001",F66="1002",F66="1003",F66="1004",F66="1004",F66="1005",F66="1006"),"Ertrag","")),"")</f>
        <v/>
      </c>
      <c r="I66" s="227" t="str">
        <f t="shared" ca="1" si="4"/>
        <v/>
      </c>
      <c r="J66" s="227" t="str">
        <f t="shared" ref="J66:J129" ca="1" si="6">IF(H66="Aufwand","Total Aufwand",IF(H66="Ertrag","Total Ertrag",""))</f>
        <v/>
      </c>
      <c r="K66" s="230" t="str">
        <f t="shared" ref="K66:K129" ca="1" si="7">IF(H66&lt;&gt;"","999999999.99","")</f>
        <v/>
      </c>
      <c r="L66" s="231" t="str">
        <f t="shared" ref="L66:L129" ca="1" si="8">IF(H66="Aufwand","900",IF(H66="Ertrag","901",""))</f>
        <v/>
      </c>
    </row>
    <row r="67" spans="1:12" x14ac:dyDescent="0.25">
      <c r="A67" s="227" t="str">
        <f>TEXT('1 Récapitulation'!$E$10 &amp; "-SHR","@")</f>
        <v>-SHR</v>
      </c>
      <c r="B67" s="228" t="str">
        <f ca="1">TEXT(IF(G67&lt;&gt; 0,OFFSET(INDIRECT(rtI.Anker2b),26,0),""),"@")</f>
        <v/>
      </c>
      <c r="C67" s="227" t="s">
        <v>9</v>
      </c>
      <c r="D67" s="227" t="s">
        <v>8</v>
      </c>
      <c r="E67" s="227" t="s">
        <v>37</v>
      </c>
      <c r="F67" s="227" t="s">
        <v>41</v>
      </c>
      <c r="G67" s="229">
        <f ca="1">OFFSET(INDIRECT(rtI.Anker2b),26,3)</f>
        <v>0</v>
      </c>
      <c r="H67" s="227" t="str">
        <f t="shared" ca="1" si="5"/>
        <v/>
      </c>
      <c r="I67" s="227" t="str">
        <f t="shared" ref="I67:I130" ca="1" si="9">IF(H67&lt;&gt;"","Total","")</f>
        <v/>
      </c>
      <c r="J67" s="227" t="str">
        <f t="shared" ca="1" si="6"/>
        <v/>
      </c>
      <c r="K67" s="230" t="str">
        <f t="shared" ca="1" si="7"/>
        <v/>
      </c>
      <c r="L67" s="231" t="str">
        <f t="shared" ca="1" si="8"/>
        <v/>
      </c>
    </row>
    <row r="68" spans="1:12" x14ac:dyDescent="0.25">
      <c r="A68" s="227" t="str">
        <f>TEXT('1 Récapitulation'!$E$10 &amp; "-SHR","@")</f>
        <v>-SHR</v>
      </c>
      <c r="B68" s="228" t="str">
        <f ca="1">TEXT(IF(G68&lt;&gt; 0,OFFSET(INDIRECT(rtI.Anker2b),27,0),""),"@")</f>
        <v/>
      </c>
      <c r="C68" s="227" t="s">
        <v>9</v>
      </c>
      <c r="D68" s="227" t="s">
        <v>8</v>
      </c>
      <c r="E68" s="227" t="s">
        <v>37</v>
      </c>
      <c r="F68" s="227" t="s">
        <v>41</v>
      </c>
      <c r="G68" s="229">
        <f ca="1">OFFSET(INDIRECT(rtI.Anker2b),27,3)</f>
        <v>0</v>
      </c>
      <c r="H68" s="227" t="str">
        <f t="shared" ca="1" si="5"/>
        <v/>
      </c>
      <c r="I68" s="227" t="str">
        <f t="shared" ca="1" si="9"/>
        <v/>
      </c>
      <c r="J68" s="227" t="str">
        <f t="shared" ca="1" si="6"/>
        <v/>
      </c>
      <c r="K68" s="230" t="str">
        <f t="shared" ca="1" si="7"/>
        <v/>
      </c>
      <c r="L68" s="231" t="str">
        <f t="shared" ca="1" si="8"/>
        <v/>
      </c>
    </row>
    <row r="69" spans="1:12" x14ac:dyDescent="0.25">
      <c r="A69" s="227" t="str">
        <f>TEXT('1 Récapitulation'!$E$10 &amp; "-SHR","@")</f>
        <v>-SHR</v>
      </c>
      <c r="B69" s="228" t="str">
        <f ca="1">TEXT(IF(G69&lt;&gt; 0,OFFSET(INDIRECT(rtI.Anker2b),28,0),""),"@")</f>
        <v/>
      </c>
      <c r="C69" s="227" t="s">
        <v>9</v>
      </c>
      <c r="D69" s="227" t="s">
        <v>8</v>
      </c>
      <c r="E69" s="227" t="s">
        <v>37</v>
      </c>
      <c r="F69" s="227" t="s">
        <v>41</v>
      </c>
      <c r="G69" s="229">
        <f ca="1">OFFSET(INDIRECT(rtI.Anker2b),28,3)</f>
        <v>0</v>
      </c>
      <c r="H69" s="227" t="str">
        <f t="shared" ca="1" si="5"/>
        <v/>
      </c>
      <c r="I69" s="227" t="str">
        <f t="shared" ca="1" si="9"/>
        <v/>
      </c>
      <c r="J69" s="227" t="str">
        <f t="shared" ca="1" si="6"/>
        <v/>
      </c>
      <c r="K69" s="230" t="str">
        <f t="shared" ca="1" si="7"/>
        <v/>
      </c>
      <c r="L69" s="231" t="str">
        <f t="shared" ca="1" si="8"/>
        <v/>
      </c>
    </row>
    <row r="70" spans="1:12" x14ac:dyDescent="0.25">
      <c r="A70" s="227" t="str">
        <f>TEXT('1 Récapitulation'!$E$10 &amp; "-SHR","@")</f>
        <v>-SHR</v>
      </c>
      <c r="B70" s="228" t="str">
        <f ca="1">TEXT(IF(G70&lt;&gt; 0,OFFSET(INDIRECT(rtI.Anker2b),29,0),""),"@")</f>
        <v/>
      </c>
      <c r="C70" s="227" t="s">
        <v>9</v>
      </c>
      <c r="D70" s="227" t="s">
        <v>8</v>
      </c>
      <c r="E70" s="227" t="s">
        <v>37</v>
      </c>
      <c r="F70" s="227" t="s">
        <v>41</v>
      </c>
      <c r="G70" s="229">
        <f ca="1">OFFSET(INDIRECT(rtI.Anker2b),29,3)</f>
        <v>0</v>
      </c>
      <c r="H70" s="227" t="str">
        <f t="shared" ca="1" si="5"/>
        <v/>
      </c>
      <c r="I70" s="227" t="str">
        <f t="shared" ca="1" si="9"/>
        <v/>
      </c>
      <c r="J70" s="227" t="str">
        <f t="shared" ca="1" si="6"/>
        <v/>
      </c>
      <c r="K70" s="230" t="str">
        <f t="shared" ca="1" si="7"/>
        <v/>
      </c>
      <c r="L70" s="231" t="str">
        <f t="shared" ca="1" si="8"/>
        <v/>
      </c>
    </row>
    <row r="71" spans="1:12" x14ac:dyDescent="0.25">
      <c r="A71" s="227" t="str">
        <f>TEXT('1 Récapitulation'!$E$10 &amp; "-SHR","@")</f>
        <v>-SHR</v>
      </c>
      <c r="B71" s="228" t="str">
        <f ca="1">TEXT(IF(G71&lt;&gt; 0,OFFSET(INDIRECT(rtI.Anker2b),30,0),""),"@")</f>
        <v/>
      </c>
      <c r="C71" s="227" t="s">
        <v>9</v>
      </c>
      <c r="D71" s="227" t="s">
        <v>8</v>
      </c>
      <c r="E71" s="227" t="s">
        <v>37</v>
      </c>
      <c r="F71" s="227" t="s">
        <v>41</v>
      </c>
      <c r="G71" s="229">
        <f ca="1">OFFSET(INDIRECT(rtI.Anker2b),30,3)</f>
        <v>0</v>
      </c>
      <c r="H71" s="227" t="str">
        <f t="shared" ca="1" si="5"/>
        <v/>
      </c>
      <c r="I71" s="227" t="str">
        <f t="shared" ca="1" si="9"/>
        <v/>
      </c>
      <c r="J71" s="227" t="str">
        <f t="shared" ca="1" si="6"/>
        <v/>
      </c>
      <c r="K71" s="230" t="str">
        <f t="shared" ca="1" si="7"/>
        <v/>
      </c>
      <c r="L71" s="231" t="str">
        <f t="shared" ca="1" si="8"/>
        <v/>
      </c>
    </row>
    <row r="72" spans="1:12" x14ac:dyDescent="0.25">
      <c r="A72" s="227" t="str">
        <f>TEXT('1 Récapitulation'!$E$10 &amp; "-SHR","@")</f>
        <v>-SHR</v>
      </c>
      <c r="B72" s="228" t="str">
        <f ca="1">TEXT(IF(G72&lt;&gt; 0,OFFSET(INDIRECT(rtI.Anker2b),31,0),""),"@")</f>
        <v/>
      </c>
      <c r="C72" s="227" t="s">
        <v>9</v>
      </c>
      <c r="D72" s="227" t="s">
        <v>8</v>
      </c>
      <c r="E72" s="227" t="s">
        <v>37</v>
      </c>
      <c r="F72" s="227" t="s">
        <v>41</v>
      </c>
      <c r="G72" s="229">
        <f ca="1">OFFSET(INDIRECT(rtI.Anker2b),31,3)</f>
        <v>0</v>
      </c>
      <c r="H72" s="227" t="str">
        <f t="shared" ca="1" si="5"/>
        <v/>
      </c>
      <c r="I72" s="227" t="str">
        <f t="shared" ca="1" si="9"/>
        <v/>
      </c>
      <c r="J72" s="227" t="str">
        <f t="shared" ca="1" si="6"/>
        <v/>
      </c>
      <c r="K72" s="230" t="str">
        <f t="shared" ca="1" si="7"/>
        <v/>
      </c>
      <c r="L72" s="231" t="str">
        <f t="shared" ca="1" si="8"/>
        <v/>
      </c>
    </row>
    <row r="73" spans="1:12" x14ac:dyDescent="0.25">
      <c r="A73" s="227" t="str">
        <f>TEXT('1 Récapitulation'!$E$10 &amp; "-SHR","@")</f>
        <v>-SHR</v>
      </c>
      <c r="B73" s="228" t="str">
        <f ca="1">TEXT(IF(G73&lt;&gt; 0,OFFSET(INDIRECT(rtI.Anker2b),32,0),""),"@")</f>
        <v/>
      </c>
      <c r="C73" s="227" t="s">
        <v>9</v>
      </c>
      <c r="D73" s="227" t="s">
        <v>8</v>
      </c>
      <c r="E73" s="227" t="s">
        <v>37</v>
      </c>
      <c r="F73" s="227" t="s">
        <v>41</v>
      </c>
      <c r="G73" s="229">
        <f ca="1">OFFSET(INDIRECT(rtI.Anker2b),32,3)</f>
        <v>0</v>
      </c>
      <c r="H73" s="227" t="str">
        <f t="shared" ca="1" si="5"/>
        <v/>
      </c>
      <c r="I73" s="227" t="str">
        <f t="shared" ca="1" si="9"/>
        <v/>
      </c>
      <c r="J73" s="227" t="str">
        <f t="shared" ca="1" si="6"/>
        <v/>
      </c>
      <c r="K73" s="230" t="str">
        <f t="shared" ca="1" si="7"/>
        <v/>
      </c>
      <c r="L73" s="231" t="str">
        <f t="shared" ca="1" si="8"/>
        <v/>
      </c>
    </row>
    <row r="74" spans="1:12" x14ac:dyDescent="0.25">
      <c r="A74" s="227" t="str">
        <f>TEXT('1 Récapitulation'!$E$10 &amp; "-SHR","@")</f>
        <v>-SHR</v>
      </c>
      <c r="B74" s="228" t="str">
        <f ca="1">TEXT(IF(G74&lt;&gt; 0,OFFSET(INDIRECT(rtI.Anker2b),33,0),""),"@")</f>
        <v/>
      </c>
      <c r="C74" s="227" t="s">
        <v>9</v>
      </c>
      <c r="D74" s="227" t="s">
        <v>8</v>
      </c>
      <c r="E74" s="227" t="s">
        <v>37</v>
      </c>
      <c r="F74" s="227" t="s">
        <v>41</v>
      </c>
      <c r="G74" s="229">
        <f ca="1">OFFSET(INDIRECT(rtI.Anker2b),33,3)</f>
        <v>0</v>
      </c>
      <c r="H74" s="227" t="str">
        <f t="shared" ca="1" si="5"/>
        <v/>
      </c>
      <c r="I74" s="227" t="str">
        <f t="shared" ca="1" si="9"/>
        <v/>
      </c>
      <c r="J74" s="227" t="str">
        <f t="shared" ca="1" si="6"/>
        <v/>
      </c>
      <c r="K74" s="230" t="str">
        <f t="shared" ca="1" si="7"/>
        <v/>
      </c>
      <c r="L74" s="231" t="str">
        <f t="shared" ca="1" si="8"/>
        <v/>
      </c>
    </row>
    <row r="75" spans="1:12" x14ac:dyDescent="0.25">
      <c r="A75" s="227" t="str">
        <f>TEXT('1 Récapitulation'!$E$10 &amp; "-SHR","@")</f>
        <v>-SHR</v>
      </c>
      <c r="B75" s="228" t="str">
        <f ca="1">TEXT(IF(G75&lt;&gt; 0,OFFSET(INDIRECT(rtI.Anker2b),34,0),""),"@")</f>
        <v/>
      </c>
      <c r="C75" s="227" t="s">
        <v>9</v>
      </c>
      <c r="D75" s="227" t="s">
        <v>8</v>
      </c>
      <c r="E75" s="227" t="s">
        <v>37</v>
      </c>
      <c r="F75" s="227" t="s">
        <v>41</v>
      </c>
      <c r="G75" s="229">
        <f ca="1">OFFSET(INDIRECT(rtI.Anker2b),34,3)</f>
        <v>0</v>
      </c>
      <c r="H75" s="227" t="str">
        <f t="shared" ca="1" si="5"/>
        <v/>
      </c>
      <c r="I75" s="227" t="str">
        <f t="shared" ca="1" si="9"/>
        <v/>
      </c>
      <c r="J75" s="227" t="str">
        <f t="shared" ca="1" si="6"/>
        <v/>
      </c>
      <c r="K75" s="230" t="str">
        <f t="shared" ca="1" si="7"/>
        <v/>
      </c>
      <c r="L75" s="231" t="str">
        <f t="shared" ca="1" si="8"/>
        <v/>
      </c>
    </row>
    <row r="76" spans="1:12" x14ac:dyDescent="0.25">
      <c r="A76" s="227" t="str">
        <f>TEXT('1 Récapitulation'!$E$10 &amp; "-SHR","@")</f>
        <v>-SHR</v>
      </c>
      <c r="B76" s="228" t="str">
        <f ca="1">TEXT(IF(G76&lt;&gt; 0,OFFSET(INDIRECT(rtI.Anker2b),35,0),""),"@")</f>
        <v/>
      </c>
      <c r="C76" s="227" t="s">
        <v>9</v>
      </c>
      <c r="D76" s="227" t="s">
        <v>8</v>
      </c>
      <c r="E76" s="227" t="s">
        <v>37</v>
      </c>
      <c r="F76" s="227" t="s">
        <v>41</v>
      </c>
      <c r="G76" s="229">
        <f ca="1">OFFSET(INDIRECT(rtI.Anker2b),35,3)</f>
        <v>0</v>
      </c>
      <c r="H76" s="227" t="str">
        <f t="shared" ca="1" si="5"/>
        <v/>
      </c>
      <c r="I76" s="227" t="str">
        <f t="shared" ca="1" si="9"/>
        <v/>
      </c>
      <c r="J76" s="227" t="str">
        <f t="shared" ca="1" si="6"/>
        <v/>
      </c>
      <c r="K76" s="230" t="str">
        <f t="shared" ca="1" si="7"/>
        <v/>
      </c>
      <c r="L76" s="231" t="str">
        <f t="shared" ca="1" si="8"/>
        <v/>
      </c>
    </row>
    <row r="77" spans="1:12" x14ac:dyDescent="0.25">
      <c r="A77" s="227" t="str">
        <f>TEXT('1 Récapitulation'!$E$10 &amp; "-SHR","@")</f>
        <v>-SHR</v>
      </c>
      <c r="B77" s="228" t="str">
        <f ca="1">TEXT(IF(G77&lt;&gt; 0,OFFSET(INDIRECT(rtI.Anker2b),36,0),""),"@")</f>
        <v/>
      </c>
      <c r="C77" s="227" t="s">
        <v>9</v>
      </c>
      <c r="D77" s="227" t="s">
        <v>8</v>
      </c>
      <c r="E77" s="227" t="s">
        <v>37</v>
      </c>
      <c r="F77" s="227" t="s">
        <v>41</v>
      </c>
      <c r="G77" s="229">
        <f ca="1">OFFSET(INDIRECT(rtI.Anker2b),36,3)</f>
        <v>0</v>
      </c>
      <c r="H77" s="227" t="str">
        <f t="shared" ca="1" si="5"/>
        <v/>
      </c>
      <c r="I77" s="227" t="str">
        <f t="shared" ca="1" si="9"/>
        <v/>
      </c>
      <c r="J77" s="227" t="str">
        <f t="shared" ca="1" si="6"/>
        <v/>
      </c>
      <c r="K77" s="230" t="str">
        <f t="shared" ca="1" si="7"/>
        <v/>
      </c>
      <c r="L77" s="231" t="str">
        <f t="shared" ca="1" si="8"/>
        <v/>
      </c>
    </row>
    <row r="78" spans="1:12" x14ac:dyDescent="0.25">
      <c r="A78" s="227" t="str">
        <f>TEXT('1 Récapitulation'!$E$10 &amp; "-SHR","@")</f>
        <v>-SHR</v>
      </c>
      <c r="B78" s="228" t="str">
        <f ca="1">TEXT(IF(G78&lt;&gt; 0,OFFSET(INDIRECT(rtI.Anker2b),37,0),""),"@")</f>
        <v/>
      </c>
      <c r="C78" s="227" t="s">
        <v>9</v>
      </c>
      <c r="D78" s="227" t="s">
        <v>8</v>
      </c>
      <c r="E78" s="227" t="s">
        <v>37</v>
      </c>
      <c r="F78" s="227" t="s">
        <v>41</v>
      </c>
      <c r="G78" s="229">
        <f ca="1">OFFSET(INDIRECT(rtI.Anker2b),37,3)</f>
        <v>0</v>
      </c>
      <c r="H78" s="227" t="str">
        <f t="shared" ca="1" si="5"/>
        <v/>
      </c>
      <c r="I78" s="227" t="str">
        <f t="shared" ca="1" si="9"/>
        <v/>
      </c>
      <c r="J78" s="227" t="str">
        <f t="shared" ca="1" si="6"/>
        <v/>
      </c>
      <c r="K78" s="230" t="str">
        <f t="shared" ca="1" si="7"/>
        <v/>
      </c>
      <c r="L78" s="231" t="str">
        <f t="shared" ca="1" si="8"/>
        <v/>
      </c>
    </row>
    <row r="79" spans="1:12" x14ac:dyDescent="0.25">
      <c r="A79" s="227" t="str">
        <f>TEXT('1 Récapitulation'!$E$10 &amp; "-SHR","@")</f>
        <v>-SHR</v>
      </c>
      <c r="B79" s="228" t="str">
        <f ca="1">TEXT(IF(G79&lt;&gt; 0,OFFSET(INDIRECT(rtI.Anker2b),38,0),""),"@")</f>
        <v/>
      </c>
      <c r="C79" s="227" t="s">
        <v>9</v>
      </c>
      <c r="D79" s="227" t="s">
        <v>8</v>
      </c>
      <c r="E79" s="227" t="s">
        <v>37</v>
      </c>
      <c r="F79" s="227" t="s">
        <v>41</v>
      </c>
      <c r="G79" s="229">
        <f ca="1">OFFSET(INDIRECT(rtI.Anker2b),38,3)</f>
        <v>0</v>
      </c>
      <c r="H79" s="227" t="str">
        <f t="shared" ca="1" si="5"/>
        <v/>
      </c>
      <c r="I79" s="227" t="str">
        <f t="shared" ca="1" si="9"/>
        <v/>
      </c>
      <c r="J79" s="227" t="str">
        <f t="shared" ca="1" si="6"/>
        <v/>
      </c>
      <c r="K79" s="230" t="str">
        <f t="shared" ca="1" si="7"/>
        <v/>
      </c>
      <c r="L79" s="231" t="str">
        <f t="shared" ca="1" si="8"/>
        <v/>
      </c>
    </row>
    <row r="80" spans="1:12" x14ac:dyDescent="0.25">
      <c r="A80" s="227" t="str">
        <f>TEXT('1 Récapitulation'!$E$10 &amp; "-SHR","@")</f>
        <v>-SHR</v>
      </c>
      <c r="B80" s="228" t="str">
        <f ca="1">TEXT(IF(G80&lt;&gt; 0,OFFSET(INDIRECT(rtI.Anker2b),0,0),""),"@")</f>
        <v/>
      </c>
      <c r="C80" s="227" t="s">
        <v>9</v>
      </c>
      <c r="D80" s="227" t="s">
        <v>2</v>
      </c>
      <c r="E80" s="227" t="s">
        <v>37</v>
      </c>
      <c r="F80" s="227" t="s">
        <v>42</v>
      </c>
      <c r="G80" s="229">
        <f ca="1">OFFSET(INDIRECT(rtI.Anker2b),0,4)</f>
        <v>0</v>
      </c>
      <c r="H80" s="227" t="str">
        <f t="shared" ca="1" si="5"/>
        <v/>
      </c>
      <c r="I80" s="227" t="str">
        <f t="shared" ca="1" si="9"/>
        <v/>
      </c>
      <c r="J80" s="227" t="str">
        <f t="shared" ca="1" si="6"/>
        <v/>
      </c>
      <c r="K80" s="230" t="str">
        <f t="shared" ca="1" si="7"/>
        <v/>
      </c>
      <c r="L80" s="231" t="str">
        <f t="shared" ca="1" si="8"/>
        <v/>
      </c>
    </row>
    <row r="81" spans="1:12" x14ac:dyDescent="0.25">
      <c r="A81" s="227" t="str">
        <f>TEXT('1 Récapitulation'!$E$10 &amp; "-SHR","@")</f>
        <v>-SHR</v>
      </c>
      <c r="B81" s="228" t="str">
        <f ca="1">TEXT(IF(G81&lt;&gt; 0,OFFSET(INDIRECT(rtI.Anker2b),1,0),""),"@")</f>
        <v/>
      </c>
      <c r="C81" s="227" t="s">
        <v>9</v>
      </c>
      <c r="D81" s="227" t="s">
        <v>2</v>
      </c>
      <c r="E81" s="227" t="s">
        <v>37</v>
      </c>
      <c r="F81" s="227" t="s">
        <v>42</v>
      </c>
      <c r="G81" s="229">
        <f ca="1">OFFSET(INDIRECT(rtI.Anker2b),1,4)</f>
        <v>0</v>
      </c>
      <c r="H81" s="227" t="str">
        <f t="shared" ca="1" si="5"/>
        <v/>
      </c>
      <c r="I81" s="227" t="str">
        <f t="shared" ca="1" si="9"/>
        <v/>
      </c>
      <c r="J81" s="227" t="str">
        <f t="shared" ca="1" si="6"/>
        <v/>
      </c>
      <c r="K81" s="230" t="str">
        <f t="shared" ca="1" si="7"/>
        <v/>
      </c>
      <c r="L81" s="231" t="str">
        <f t="shared" ca="1" si="8"/>
        <v/>
      </c>
    </row>
    <row r="82" spans="1:12" x14ac:dyDescent="0.25">
      <c r="A82" s="227" t="str">
        <f>TEXT('1 Récapitulation'!$E$10 &amp; "-SHR","@")</f>
        <v>-SHR</v>
      </c>
      <c r="B82" s="228" t="str">
        <f ca="1">TEXT(IF(G82&lt;&gt; 0,OFFSET(INDIRECT(rtI.Anker2b),2,0),""),"@")</f>
        <v/>
      </c>
      <c r="C82" s="227" t="s">
        <v>9</v>
      </c>
      <c r="D82" s="227" t="s">
        <v>2</v>
      </c>
      <c r="E82" s="227" t="s">
        <v>37</v>
      </c>
      <c r="F82" s="227" t="s">
        <v>42</v>
      </c>
      <c r="G82" s="229">
        <f ca="1">OFFSET(INDIRECT(rtI.Anker2b),2,4)</f>
        <v>0</v>
      </c>
      <c r="H82" s="227" t="str">
        <f t="shared" ca="1" si="5"/>
        <v/>
      </c>
      <c r="I82" s="227" t="str">
        <f t="shared" ca="1" si="9"/>
        <v/>
      </c>
      <c r="J82" s="227" t="str">
        <f t="shared" ca="1" si="6"/>
        <v/>
      </c>
      <c r="K82" s="230" t="str">
        <f t="shared" ca="1" si="7"/>
        <v/>
      </c>
      <c r="L82" s="231" t="str">
        <f t="shared" ca="1" si="8"/>
        <v/>
      </c>
    </row>
    <row r="83" spans="1:12" x14ac:dyDescent="0.25">
      <c r="A83" s="227" t="str">
        <f>TEXT('1 Récapitulation'!$E$10 &amp; "-SHR","@")</f>
        <v>-SHR</v>
      </c>
      <c r="B83" s="228" t="str">
        <f ca="1">TEXT(IF(G83&lt;&gt; 0,OFFSET(INDIRECT(rtI.Anker2b),3,0),""),"@")</f>
        <v/>
      </c>
      <c r="C83" s="227" t="s">
        <v>9</v>
      </c>
      <c r="D83" s="227" t="s">
        <v>2</v>
      </c>
      <c r="E83" s="227" t="s">
        <v>37</v>
      </c>
      <c r="F83" s="227" t="s">
        <v>42</v>
      </c>
      <c r="G83" s="229">
        <f ca="1">OFFSET(INDIRECT(rtI.Anker2b),3,4)</f>
        <v>0</v>
      </c>
      <c r="H83" s="227" t="str">
        <f t="shared" ca="1" si="5"/>
        <v/>
      </c>
      <c r="I83" s="227" t="str">
        <f t="shared" ca="1" si="9"/>
        <v/>
      </c>
      <c r="J83" s="227" t="str">
        <f t="shared" ca="1" si="6"/>
        <v/>
      </c>
      <c r="K83" s="230" t="str">
        <f t="shared" ca="1" si="7"/>
        <v/>
      </c>
      <c r="L83" s="231" t="str">
        <f t="shared" ca="1" si="8"/>
        <v/>
      </c>
    </row>
    <row r="84" spans="1:12" x14ac:dyDescent="0.25">
      <c r="A84" s="227" t="str">
        <f>TEXT('1 Récapitulation'!$E$10 &amp; "-SHR","@")</f>
        <v>-SHR</v>
      </c>
      <c r="B84" s="228" t="str">
        <f ca="1">TEXT(IF(G84&lt;&gt; 0,OFFSET(INDIRECT(rtI.Anker2b),4,0),""),"@")</f>
        <v/>
      </c>
      <c r="C84" s="227" t="s">
        <v>9</v>
      </c>
      <c r="D84" s="227" t="s">
        <v>2</v>
      </c>
      <c r="E84" s="227" t="s">
        <v>37</v>
      </c>
      <c r="F84" s="227" t="s">
        <v>42</v>
      </c>
      <c r="G84" s="229">
        <f ca="1">OFFSET(INDIRECT(rtI.Anker2b),4,4)</f>
        <v>0</v>
      </c>
      <c r="H84" s="227" t="str">
        <f t="shared" ca="1" si="5"/>
        <v/>
      </c>
      <c r="I84" s="227" t="str">
        <f t="shared" ca="1" si="9"/>
        <v/>
      </c>
      <c r="J84" s="227" t="str">
        <f t="shared" ca="1" si="6"/>
        <v/>
      </c>
      <c r="K84" s="230" t="str">
        <f t="shared" ca="1" si="7"/>
        <v/>
      </c>
      <c r="L84" s="231" t="str">
        <f t="shared" ca="1" si="8"/>
        <v/>
      </c>
    </row>
    <row r="85" spans="1:12" x14ac:dyDescent="0.25">
      <c r="A85" s="227" t="str">
        <f>TEXT('1 Récapitulation'!$E$10 &amp; "-SHR","@")</f>
        <v>-SHR</v>
      </c>
      <c r="B85" s="228" t="str">
        <f ca="1">TEXT(IF(G85&lt;&gt; 0,OFFSET(INDIRECT(rtI.Anker2b),5,0),""),"@")</f>
        <v/>
      </c>
      <c r="C85" s="227" t="s">
        <v>9</v>
      </c>
      <c r="D85" s="227" t="s">
        <v>2</v>
      </c>
      <c r="E85" s="227" t="s">
        <v>37</v>
      </c>
      <c r="F85" s="227" t="s">
        <v>42</v>
      </c>
      <c r="G85" s="229">
        <f ca="1">OFFSET(INDIRECT(rtI.Anker2b),5,4)</f>
        <v>0</v>
      </c>
      <c r="H85" s="227" t="str">
        <f t="shared" ca="1" si="5"/>
        <v/>
      </c>
      <c r="I85" s="227" t="str">
        <f t="shared" ca="1" si="9"/>
        <v/>
      </c>
      <c r="J85" s="227" t="str">
        <f t="shared" ca="1" si="6"/>
        <v/>
      </c>
      <c r="K85" s="230" t="str">
        <f t="shared" ca="1" si="7"/>
        <v/>
      </c>
      <c r="L85" s="231" t="str">
        <f t="shared" ca="1" si="8"/>
        <v/>
      </c>
    </row>
    <row r="86" spans="1:12" x14ac:dyDescent="0.25">
      <c r="A86" s="227" t="str">
        <f>TEXT('1 Récapitulation'!$E$10 &amp; "-SHR","@")</f>
        <v>-SHR</v>
      </c>
      <c r="B86" s="228" t="str">
        <f ca="1">TEXT(IF(G86&lt;&gt; 0,OFFSET(INDIRECT(rtI.Anker2b),6,0),""),"@")</f>
        <v/>
      </c>
      <c r="C86" s="227" t="s">
        <v>9</v>
      </c>
      <c r="D86" s="227" t="s">
        <v>2</v>
      </c>
      <c r="E86" s="227" t="s">
        <v>37</v>
      </c>
      <c r="F86" s="227" t="s">
        <v>42</v>
      </c>
      <c r="G86" s="229">
        <f ca="1">OFFSET(INDIRECT(rtI.Anker2b),6,4)</f>
        <v>0</v>
      </c>
      <c r="H86" s="227" t="str">
        <f t="shared" ca="1" si="5"/>
        <v/>
      </c>
      <c r="I86" s="227" t="str">
        <f t="shared" ca="1" si="9"/>
        <v/>
      </c>
      <c r="J86" s="227" t="str">
        <f t="shared" ca="1" si="6"/>
        <v/>
      </c>
      <c r="K86" s="230" t="str">
        <f t="shared" ca="1" si="7"/>
        <v/>
      </c>
      <c r="L86" s="231" t="str">
        <f t="shared" ca="1" si="8"/>
        <v/>
      </c>
    </row>
    <row r="87" spans="1:12" x14ac:dyDescent="0.25">
      <c r="A87" s="227" t="str">
        <f>TEXT('1 Récapitulation'!$E$10 &amp; "-SHR","@")</f>
        <v>-SHR</v>
      </c>
      <c r="B87" s="228" t="str">
        <f ca="1">TEXT(IF(G87&lt;&gt; 0,OFFSET(INDIRECT(rtI.Anker2b),7,0),""),"@")</f>
        <v/>
      </c>
      <c r="C87" s="227" t="s">
        <v>9</v>
      </c>
      <c r="D87" s="227" t="s">
        <v>2</v>
      </c>
      <c r="E87" s="227" t="s">
        <v>37</v>
      </c>
      <c r="F87" s="227" t="s">
        <v>42</v>
      </c>
      <c r="G87" s="229">
        <f ca="1">OFFSET(INDIRECT(rtI.Anker2b),7,4)</f>
        <v>0</v>
      </c>
      <c r="H87" s="227" t="str">
        <f t="shared" ca="1" si="5"/>
        <v/>
      </c>
      <c r="I87" s="227" t="str">
        <f t="shared" ca="1" si="9"/>
        <v/>
      </c>
      <c r="J87" s="227" t="str">
        <f t="shared" ca="1" si="6"/>
        <v/>
      </c>
      <c r="K87" s="230" t="str">
        <f t="shared" ca="1" si="7"/>
        <v/>
      </c>
      <c r="L87" s="231" t="str">
        <f t="shared" ca="1" si="8"/>
        <v/>
      </c>
    </row>
    <row r="88" spans="1:12" x14ac:dyDescent="0.25">
      <c r="A88" s="227" t="str">
        <f>TEXT('1 Récapitulation'!$E$10 &amp; "-SHR","@")</f>
        <v>-SHR</v>
      </c>
      <c r="B88" s="228" t="str">
        <f ca="1">TEXT(IF(G88&lt;&gt; 0,OFFSET(INDIRECT(rtI.Anker2b),8,0),""),"@")</f>
        <v/>
      </c>
      <c r="C88" s="227" t="s">
        <v>9</v>
      </c>
      <c r="D88" s="227" t="s">
        <v>2</v>
      </c>
      <c r="E88" s="227" t="s">
        <v>37</v>
      </c>
      <c r="F88" s="227" t="s">
        <v>42</v>
      </c>
      <c r="G88" s="229">
        <f ca="1">OFFSET(INDIRECT(rtI.Anker2b),8,4)</f>
        <v>0</v>
      </c>
      <c r="H88" s="227" t="str">
        <f t="shared" ca="1" si="5"/>
        <v/>
      </c>
      <c r="I88" s="227" t="str">
        <f t="shared" ca="1" si="9"/>
        <v/>
      </c>
      <c r="J88" s="227" t="str">
        <f t="shared" ca="1" si="6"/>
        <v/>
      </c>
      <c r="K88" s="230" t="str">
        <f t="shared" ca="1" si="7"/>
        <v/>
      </c>
      <c r="L88" s="231" t="str">
        <f t="shared" ca="1" si="8"/>
        <v/>
      </c>
    </row>
    <row r="89" spans="1:12" x14ac:dyDescent="0.25">
      <c r="A89" s="227" t="str">
        <f>TEXT('1 Récapitulation'!$E$10 &amp; "-SHR","@")</f>
        <v>-SHR</v>
      </c>
      <c r="B89" s="228" t="str">
        <f ca="1">TEXT(IF(G89&lt;&gt; 0,OFFSET(INDIRECT(rtI.Anker2b),9,0),""),"@")</f>
        <v/>
      </c>
      <c r="C89" s="227" t="s">
        <v>9</v>
      </c>
      <c r="D89" s="227" t="s">
        <v>2</v>
      </c>
      <c r="E89" s="227" t="s">
        <v>37</v>
      </c>
      <c r="F89" s="227" t="s">
        <v>42</v>
      </c>
      <c r="G89" s="229">
        <f ca="1">OFFSET(INDIRECT(rtI.Anker2b),9,4)</f>
        <v>0</v>
      </c>
      <c r="H89" s="227" t="str">
        <f t="shared" ca="1" si="5"/>
        <v/>
      </c>
      <c r="I89" s="227" t="str">
        <f t="shared" ca="1" si="9"/>
        <v/>
      </c>
      <c r="J89" s="227" t="str">
        <f t="shared" ca="1" si="6"/>
        <v/>
      </c>
      <c r="K89" s="230" t="str">
        <f t="shared" ca="1" si="7"/>
        <v/>
      </c>
      <c r="L89" s="231" t="str">
        <f t="shared" ca="1" si="8"/>
        <v/>
      </c>
    </row>
    <row r="90" spans="1:12" x14ac:dyDescent="0.25">
      <c r="A90" s="227" t="str">
        <f>TEXT('1 Récapitulation'!$E$10 &amp; "-SHR","@")</f>
        <v>-SHR</v>
      </c>
      <c r="B90" s="228" t="str">
        <f ca="1">TEXT(IF(G90&lt;&gt; 0,OFFSET(INDIRECT(rtI.Anker2b),10,0),""),"@")</f>
        <v/>
      </c>
      <c r="C90" s="227" t="s">
        <v>9</v>
      </c>
      <c r="D90" s="227" t="s">
        <v>2</v>
      </c>
      <c r="E90" s="227" t="s">
        <v>37</v>
      </c>
      <c r="F90" s="227" t="s">
        <v>42</v>
      </c>
      <c r="G90" s="229">
        <f ca="1">OFFSET(INDIRECT(rtI.Anker2b),10,4)</f>
        <v>0</v>
      </c>
      <c r="H90" s="227" t="str">
        <f t="shared" ca="1" si="5"/>
        <v/>
      </c>
      <c r="I90" s="227" t="str">
        <f t="shared" ca="1" si="9"/>
        <v/>
      </c>
      <c r="J90" s="227" t="str">
        <f t="shared" ca="1" si="6"/>
        <v/>
      </c>
      <c r="K90" s="230" t="str">
        <f t="shared" ca="1" si="7"/>
        <v/>
      </c>
      <c r="L90" s="231" t="str">
        <f t="shared" ca="1" si="8"/>
        <v/>
      </c>
    </row>
    <row r="91" spans="1:12" x14ac:dyDescent="0.25">
      <c r="A91" s="227" t="str">
        <f>TEXT('1 Récapitulation'!$E$10 &amp; "-SHR","@")</f>
        <v>-SHR</v>
      </c>
      <c r="B91" s="228" t="str">
        <f ca="1">TEXT(IF(G91&lt;&gt; 0,OFFSET(INDIRECT(rtI.Anker2b),11,0),""),"@")</f>
        <v/>
      </c>
      <c r="C91" s="227" t="s">
        <v>9</v>
      </c>
      <c r="D91" s="227" t="s">
        <v>2</v>
      </c>
      <c r="E91" s="227" t="s">
        <v>37</v>
      </c>
      <c r="F91" s="227" t="s">
        <v>42</v>
      </c>
      <c r="G91" s="229">
        <f ca="1">OFFSET(INDIRECT(rtI.Anker2b),11,4)</f>
        <v>0</v>
      </c>
      <c r="H91" s="227" t="str">
        <f t="shared" ca="1" si="5"/>
        <v/>
      </c>
      <c r="I91" s="227" t="str">
        <f t="shared" ca="1" si="9"/>
        <v/>
      </c>
      <c r="J91" s="227" t="str">
        <f t="shared" ca="1" si="6"/>
        <v/>
      </c>
      <c r="K91" s="230" t="str">
        <f t="shared" ca="1" si="7"/>
        <v/>
      </c>
      <c r="L91" s="231" t="str">
        <f t="shared" ca="1" si="8"/>
        <v/>
      </c>
    </row>
    <row r="92" spans="1:12" x14ac:dyDescent="0.25">
      <c r="A92" s="227" t="str">
        <f>TEXT('1 Récapitulation'!$E$10 &amp; "-SHR","@")</f>
        <v>-SHR</v>
      </c>
      <c r="B92" s="228" t="str">
        <f ca="1">TEXT(IF(G92&lt;&gt; 0,OFFSET(INDIRECT(rtI.Anker2b),12,0),""),"@")</f>
        <v/>
      </c>
      <c r="C92" s="227" t="s">
        <v>9</v>
      </c>
      <c r="D92" s="227" t="s">
        <v>2</v>
      </c>
      <c r="E92" s="227" t="s">
        <v>37</v>
      </c>
      <c r="F92" s="227" t="s">
        <v>42</v>
      </c>
      <c r="G92" s="229">
        <f ca="1">OFFSET(INDIRECT(rtI.Anker2b),12,4)</f>
        <v>0</v>
      </c>
      <c r="H92" s="227" t="str">
        <f t="shared" ca="1" si="5"/>
        <v/>
      </c>
      <c r="I92" s="227" t="str">
        <f t="shared" ca="1" si="9"/>
        <v/>
      </c>
      <c r="J92" s="227" t="str">
        <f t="shared" ca="1" si="6"/>
        <v/>
      </c>
      <c r="K92" s="230" t="str">
        <f t="shared" ca="1" si="7"/>
        <v/>
      </c>
      <c r="L92" s="231" t="str">
        <f t="shared" ca="1" si="8"/>
        <v/>
      </c>
    </row>
    <row r="93" spans="1:12" x14ac:dyDescent="0.25">
      <c r="A93" s="227" t="str">
        <f>TEXT('1 Récapitulation'!$E$10 &amp; "-SHR","@")</f>
        <v>-SHR</v>
      </c>
      <c r="B93" s="228" t="str">
        <f ca="1">TEXT(IF(G93&lt;&gt; 0,OFFSET(INDIRECT(rtI.Anker2b),13,0),""),"@")</f>
        <v/>
      </c>
      <c r="C93" s="227" t="s">
        <v>9</v>
      </c>
      <c r="D93" s="227" t="s">
        <v>2</v>
      </c>
      <c r="E93" s="227" t="s">
        <v>37</v>
      </c>
      <c r="F93" s="227" t="s">
        <v>42</v>
      </c>
      <c r="G93" s="229">
        <f ca="1">OFFSET(INDIRECT(rtI.Anker2b),13,4)</f>
        <v>0</v>
      </c>
      <c r="H93" s="227" t="str">
        <f t="shared" ca="1" si="5"/>
        <v/>
      </c>
      <c r="I93" s="227" t="str">
        <f t="shared" ca="1" si="9"/>
        <v/>
      </c>
      <c r="J93" s="227" t="str">
        <f t="shared" ca="1" si="6"/>
        <v/>
      </c>
      <c r="K93" s="230" t="str">
        <f t="shared" ca="1" si="7"/>
        <v/>
      </c>
      <c r="L93" s="231" t="str">
        <f t="shared" ca="1" si="8"/>
        <v/>
      </c>
    </row>
    <row r="94" spans="1:12" x14ac:dyDescent="0.25">
      <c r="A94" s="227" t="str">
        <f>TEXT('1 Récapitulation'!$E$10 &amp; "-SHR","@")</f>
        <v>-SHR</v>
      </c>
      <c r="B94" s="228" t="str">
        <f ca="1">TEXT(IF(G94&lt;&gt; 0,OFFSET(INDIRECT(rtI.Anker2b),14,0),""),"@")</f>
        <v/>
      </c>
      <c r="C94" s="227" t="s">
        <v>9</v>
      </c>
      <c r="D94" s="227" t="s">
        <v>2</v>
      </c>
      <c r="E94" s="227" t="s">
        <v>37</v>
      </c>
      <c r="F94" s="227" t="s">
        <v>42</v>
      </c>
      <c r="G94" s="229">
        <f ca="1">OFFSET(INDIRECT(rtI.Anker2b),14,4)</f>
        <v>0</v>
      </c>
      <c r="H94" s="227" t="str">
        <f t="shared" ca="1" si="5"/>
        <v/>
      </c>
      <c r="I94" s="227" t="str">
        <f t="shared" ca="1" si="9"/>
        <v/>
      </c>
      <c r="J94" s="227" t="str">
        <f t="shared" ca="1" si="6"/>
        <v/>
      </c>
      <c r="K94" s="230" t="str">
        <f t="shared" ca="1" si="7"/>
        <v/>
      </c>
      <c r="L94" s="231" t="str">
        <f t="shared" ca="1" si="8"/>
        <v/>
      </c>
    </row>
    <row r="95" spans="1:12" x14ac:dyDescent="0.25">
      <c r="A95" s="227" t="str">
        <f>TEXT('1 Récapitulation'!$E$10 &amp; "-SHR","@")</f>
        <v>-SHR</v>
      </c>
      <c r="B95" s="228" t="str">
        <f ca="1">TEXT(IF(G95&lt;&gt; 0,OFFSET(INDIRECT(rtI.Anker2b),15,0),""),"@")</f>
        <v/>
      </c>
      <c r="C95" s="227" t="s">
        <v>9</v>
      </c>
      <c r="D95" s="227" t="s">
        <v>2</v>
      </c>
      <c r="E95" s="227" t="s">
        <v>37</v>
      </c>
      <c r="F95" s="227" t="s">
        <v>42</v>
      </c>
      <c r="G95" s="229">
        <f ca="1">OFFSET(INDIRECT(rtI.Anker2b),15,4)</f>
        <v>0</v>
      </c>
      <c r="H95" s="227" t="str">
        <f t="shared" ca="1" si="5"/>
        <v/>
      </c>
      <c r="I95" s="227" t="str">
        <f t="shared" ca="1" si="9"/>
        <v/>
      </c>
      <c r="J95" s="227" t="str">
        <f t="shared" ca="1" si="6"/>
        <v/>
      </c>
      <c r="K95" s="230" t="str">
        <f t="shared" ca="1" si="7"/>
        <v/>
      </c>
      <c r="L95" s="231" t="str">
        <f t="shared" ca="1" si="8"/>
        <v/>
      </c>
    </row>
    <row r="96" spans="1:12" x14ac:dyDescent="0.25">
      <c r="A96" s="227" t="str">
        <f>TEXT('1 Récapitulation'!$E$10 &amp; "-SHR","@")</f>
        <v>-SHR</v>
      </c>
      <c r="B96" s="228" t="str">
        <f ca="1">TEXT(IF(G96&lt;&gt; 0,OFFSET(INDIRECT(rtI.Anker2b),16,0),""),"@")</f>
        <v/>
      </c>
      <c r="C96" s="227" t="s">
        <v>9</v>
      </c>
      <c r="D96" s="227" t="s">
        <v>2</v>
      </c>
      <c r="E96" s="227" t="s">
        <v>37</v>
      </c>
      <c r="F96" s="227" t="s">
        <v>42</v>
      </c>
      <c r="G96" s="229">
        <f ca="1">OFFSET(INDIRECT(rtI.Anker2b),16,4)</f>
        <v>0</v>
      </c>
      <c r="H96" s="227" t="str">
        <f t="shared" ca="1" si="5"/>
        <v/>
      </c>
      <c r="I96" s="227" t="str">
        <f t="shared" ca="1" si="9"/>
        <v/>
      </c>
      <c r="J96" s="227" t="str">
        <f t="shared" ca="1" si="6"/>
        <v/>
      </c>
      <c r="K96" s="230" t="str">
        <f t="shared" ca="1" si="7"/>
        <v/>
      </c>
      <c r="L96" s="231" t="str">
        <f t="shared" ca="1" si="8"/>
        <v/>
      </c>
    </row>
    <row r="97" spans="1:12" x14ac:dyDescent="0.25">
      <c r="A97" s="227" t="str">
        <f>TEXT('1 Récapitulation'!$E$10 &amp; "-SHR","@")</f>
        <v>-SHR</v>
      </c>
      <c r="B97" s="228" t="str">
        <f ca="1">TEXT(IF(G97&lt;&gt; 0,OFFSET(INDIRECT(rtI.Anker2b),17,0),""),"@")</f>
        <v/>
      </c>
      <c r="C97" s="227" t="s">
        <v>9</v>
      </c>
      <c r="D97" s="227" t="s">
        <v>2</v>
      </c>
      <c r="E97" s="227" t="s">
        <v>37</v>
      </c>
      <c r="F97" s="227" t="s">
        <v>42</v>
      </c>
      <c r="G97" s="229">
        <f ca="1">OFFSET(INDIRECT(rtI.Anker2b),17,4)</f>
        <v>0</v>
      </c>
      <c r="H97" s="227" t="str">
        <f t="shared" ca="1" si="5"/>
        <v/>
      </c>
      <c r="I97" s="227" t="str">
        <f t="shared" ca="1" si="9"/>
        <v/>
      </c>
      <c r="J97" s="227" t="str">
        <f t="shared" ca="1" si="6"/>
        <v/>
      </c>
      <c r="K97" s="230" t="str">
        <f t="shared" ca="1" si="7"/>
        <v/>
      </c>
      <c r="L97" s="231" t="str">
        <f t="shared" ca="1" si="8"/>
        <v/>
      </c>
    </row>
    <row r="98" spans="1:12" x14ac:dyDescent="0.25">
      <c r="A98" s="227" t="str">
        <f>TEXT('1 Récapitulation'!$E$10 &amp; "-SHR","@")</f>
        <v>-SHR</v>
      </c>
      <c r="B98" s="228" t="str">
        <f ca="1">TEXT(IF(G98&lt;&gt; 0,OFFSET(INDIRECT(rtI.Anker2b),18,0),""),"@")</f>
        <v/>
      </c>
      <c r="C98" s="227" t="s">
        <v>9</v>
      </c>
      <c r="D98" s="227" t="s">
        <v>2</v>
      </c>
      <c r="E98" s="227" t="s">
        <v>37</v>
      </c>
      <c r="F98" s="227" t="s">
        <v>42</v>
      </c>
      <c r="G98" s="229">
        <f ca="1">OFFSET(INDIRECT(rtI.Anker2b),18,4)</f>
        <v>0</v>
      </c>
      <c r="H98" s="227" t="str">
        <f t="shared" ca="1" si="5"/>
        <v/>
      </c>
      <c r="I98" s="227" t="str">
        <f t="shared" ca="1" si="9"/>
        <v/>
      </c>
      <c r="J98" s="227" t="str">
        <f t="shared" ca="1" si="6"/>
        <v/>
      </c>
      <c r="K98" s="230" t="str">
        <f t="shared" ca="1" si="7"/>
        <v/>
      </c>
      <c r="L98" s="231" t="str">
        <f t="shared" ca="1" si="8"/>
        <v/>
      </c>
    </row>
    <row r="99" spans="1:12" x14ac:dyDescent="0.25">
      <c r="A99" s="227" t="str">
        <f>TEXT('1 Récapitulation'!$E$10 &amp; "-SHR","@")</f>
        <v>-SHR</v>
      </c>
      <c r="B99" s="228" t="str">
        <f ca="1">TEXT(IF(G99&lt;&gt; 0,OFFSET(INDIRECT(rtI.Anker2b),19,0),""),"@")</f>
        <v/>
      </c>
      <c r="C99" s="227" t="s">
        <v>9</v>
      </c>
      <c r="D99" s="227" t="s">
        <v>2</v>
      </c>
      <c r="E99" s="227" t="s">
        <v>37</v>
      </c>
      <c r="F99" s="227" t="s">
        <v>42</v>
      </c>
      <c r="G99" s="229">
        <f ca="1">OFFSET(INDIRECT(rtI.Anker2b),19,4)</f>
        <v>0</v>
      </c>
      <c r="H99" s="227" t="str">
        <f t="shared" ca="1" si="5"/>
        <v/>
      </c>
      <c r="I99" s="227" t="str">
        <f t="shared" ca="1" si="9"/>
        <v/>
      </c>
      <c r="J99" s="227" t="str">
        <f t="shared" ca="1" si="6"/>
        <v/>
      </c>
      <c r="K99" s="230" t="str">
        <f t="shared" ca="1" si="7"/>
        <v/>
      </c>
      <c r="L99" s="231" t="str">
        <f t="shared" ca="1" si="8"/>
        <v/>
      </c>
    </row>
    <row r="100" spans="1:12" x14ac:dyDescent="0.25">
      <c r="A100" s="227" t="str">
        <f>TEXT('1 Récapitulation'!$E$10 &amp; "-SHR","@")</f>
        <v>-SHR</v>
      </c>
      <c r="B100" s="228" t="str">
        <f ca="1">TEXT(IF(G100&lt;&gt; 0,OFFSET(INDIRECT(rtI.Anker2b),20,0),""),"@")</f>
        <v/>
      </c>
      <c r="C100" s="227" t="s">
        <v>9</v>
      </c>
      <c r="D100" s="227" t="s">
        <v>2</v>
      </c>
      <c r="E100" s="227" t="s">
        <v>37</v>
      </c>
      <c r="F100" s="227" t="s">
        <v>42</v>
      </c>
      <c r="G100" s="229">
        <f ca="1">OFFSET(INDIRECT(rtI.Anker2b),20,4)</f>
        <v>0</v>
      </c>
      <c r="H100" s="227" t="str">
        <f t="shared" ca="1" si="5"/>
        <v/>
      </c>
      <c r="I100" s="227" t="str">
        <f t="shared" ca="1" si="9"/>
        <v/>
      </c>
      <c r="J100" s="227" t="str">
        <f t="shared" ca="1" si="6"/>
        <v/>
      </c>
      <c r="K100" s="230" t="str">
        <f t="shared" ca="1" si="7"/>
        <v/>
      </c>
      <c r="L100" s="231" t="str">
        <f t="shared" ca="1" si="8"/>
        <v/>
      </c>
    </row>
    <row r="101" spans="1:12" x14ac:dyDescent="0.25">
      <c r="A101" s="227" t="str">
        <f>TEXT('1 Récapitulation'!$E$10 &amp; "-SHR","@")</f>
        <v>-SHR</v>
      </c>
      <c r="B101" s="228" t="str">
        <f ca="1">TEXT(IF(G101&lt;&gt; 0,OFFSET(INDIRECT(rtI.Anker2b),21,0),""),"@")</f>
        <v/>
      </c>
      <c r="C101" s="227" t="s">
        <v>9</v>
      </c>
      <c r="D101" s="227" t="s">
        <v>2</v>
      </c>
      <c r="E101" s="227" t="s">
        <v>37</v>
      </c>
      <c r="F101" s="227" t="s">
        <v>42</v>
      </c>
      <c r="G101" s="229">
        <f ca="1">OFFSET(INDIRECT(rtI.Anker2b),21,4)</f>
        <v>0</v>
      </c>
      <c r="H101" s="227" t="str">
        <f t="shared" ca="1" si="5"/>
        <v/>
      </c>
      <c r="I101" s="227" t="str">
        <f t="shared" ca="1" si="9"/>
        <v/>
      </c>
      <c r="J101" s="227" t="str">
        <f t="shared" ca="1" si="6"/>
        <v/>
      </c>
      <c r="K101" s="230" t="str">
        <f t="shared" ca="1" si="7"/>
        <v/>
      </c>
      <c r="L101" s="231" t="str">
        <f t="shared" ca="1" si="8"/>
        <v/>
      </c>
    </row>
    <row r="102" spans="1:12" x14ac:dyDescent="0.25">
      <c r="A102" s="227" t="str">
        <f>TEXT('1 Récapitulation'!$E$10 &amp; "-SHR","@")</f>
        <v>-SHR</v>
      </c>
      <c r="B102" s="228" t="str">
        <f ca="1">TEXT(IF(G102&lt;&gt; 0,OFFSET(INDIRECT(rtI.Anker2b),22,0),""),"@")</f>
        <v/>
      </c>
      <c r="C102" s="227" t="s">
        <v>9</v>
      </c>
      <c r="D102" s="227" t="s">
        <v>2</v>
      </c>
      <c r="E102" s="227" t="s">
        <v>37</v>
      </c>
      <c r="F102" s="227" t="s">
        <v>42</v>
      </c>
      <c r="G102" s="229">
        <f ca="1">OFFSET(INDIRECT(rtI.Anker2b),22,4)</f>
        <v>0</v>
      </c>
      <c r="H102" s="227" t="str">
        <f t="shared" ca="1" si="5"/>
        <v/>
      </c>
      <c r="I102" s="227" t="str">
        <f t="shared" ca="1" si="9"/>
        <v/>
      </c>
      <c r="J102" s="227" t="str">
        <f t="shared" ca="1" si="6"/>
        <v/>
      </c>
      <c r="K102" s="230" t="str">
        <f t="shared" ca="1" si="7"/>
        <v/>
      </c>
      <c r="L102" s="231" t="str">
        <f t="shared" ca="1" si="8"/>
        <v/>
      </c>
    </row>
    <row r="103" spans="1:12" x14ac:dyDescent="0.25">
      <c r="A103" s="227" t="str">
        <f>TEXT('1 Récapitulation'!$E$10 &amp; "-SHR","@")</f>
        <v>-SHR</v>
      </c>
      <c r="B103" s="228" t="str">
        <f ca="1">TEXT(IF(G103&lt;&gt; 0,OFFSET(INDIRECT(rtI.Anker2b),23,0),""),"@")</f>
        <v/>
      </c>
      <c r="C103" s="227" t="s">
        <v>9</v>
      </c>
      <c r="D103" s="227" t="s">
        <v>2</v>
      </c>
      <c r="E103" s="227" t="s">
        <v>37</v>
      </c>
      <c r="F103" s="227" t="s">
        <v>42</v>
      </c>
      <c r="G103" s="229">
        <f ca="1">OFFSET(INDIRECT(rtI.Anker2b),23,4)</f>
        <v>0</v>
      </c>
      <c r="H103" s="227" t="str">
        <f t="shared" ca="1" si="5"/>
        <v/>
      </c>
      <c r="I103" s="227" t="str">
        <f t="shared" ca="1" si="9"/>
        <v/>
      </c>
      <c r="J103" s="227" t="str">
        <f t="shared" ca="1" si="6"/>
        <v/>
      </c>
      <c r="K103" s="230" t="str">
        <f t="shared" ca="1" si="7"/>
        <v/>
      </c>
      <c r="L103" s="231" t="str">
        <f t="shared" ca="1" si="8"/>
        <v/>
      </c>
    </row>
    <row r="104" spans="1:12" x14ac:dyDescent="0.25">
      <c r="A104" s="227" t="str">
        <f>TEXT('1 Récapitulation'!$E$10 &amp; "-SHR","@")</f>
        <v>-SHR</v>
      </c>
      <c r="B104" s="228" t="str">
        <f ca="1">TEXT(IF(G104&lt;&gt; 0,OFFSET(INDIRECT(rtI.Anker2b),24,0),""),"@")</f>
        <v/>
      </c>
      <c r="C104" s="227" t="s">
        <v>9</v>
      </c>
      <c r="D104" s="227" t="s">
        <v>2</v>
      </c>
      <c r="E104" s="227" t="s">
        <v>37</v>
      </c>
      <c r="F104" s="227" t="s">
        <v>42</v>
      </c>
      <c r="G104" s="229">
        <f ca="1">OFFSET(INDIRECT(rtI.Anker2b),24,4)</f>
        <v>0</v>
      </c>
      <c r="H104" s="227" t="str">
        <f t="shared" ca="1" si="5"/>
        <v/>
      </c>
      <c r="I104" s="227" t="str">
        <f t="shared" ca="1" si="9"/>
        <v/>
      </c>
      <c r="J104" s="227" t="str">
        <f t="shared" ca="1" si="6"/>
        <v/>
      </c>
      <c r="K104" s="230" t="str">
        <f t="shared" ca="1" si="7"/>
        <v/>
      </c>
      <c r="L104" s="231" t="str">
        <f t="shared" ca="1" si="8"/>
        <v/>
      </c>
    </row>
    <row r="105" spans="1:12" x14ac:dyDescent="0.25">
      <c r="A105" s="227" t="str">
        <f>TEXT('1 Récapitulation'!$E$10 &amp; "-SHR","@")</f>
        <v>-SHR</v>
      </c>
      <c r="B105" s="228" t="str">
        <f ca="1">TEXT(IF(G105&lt;&gt; 0,OFFSET(INDIRECT(rtI.Anker2b),25,0),""),"@")</f>
        <v/>
      </c>
      <c r="C105" s="227" t="s">
        <v>9</v>
      </c>
      <c r="D105" s="227" t="s">
        <v>2</v>
      </c>
      <c r="E105" s="227" t="s">
        <v>37</v>
      </c>
      <c r="F105" s="227" t="s">
        <v>42</v>
      </c>
      <c r="G105" s="229">
        <f ca="1">OFFSET(INDIRECT(rtI.Anker2b),25,4)</f>
        <v>0</v>
      </c>
      <c r="H105" s="227" t="str">
        <f t="shared" ca="1" si="5"/>
        <v/>
      </c>
      <c r="I105" s="227" t="str">
        <f t="shared" ca="1" si="9"/>
        <v/>
      </c>
      <c r="J105" s="227" t="str">
        <f t="shared" ca="1" si="6"/>
        <v/>
      </c>
      <c r="K105" s="230" t="str">
        <f t="shared" ca="1" si="7"/>
        <v/>
      </c>
      <c r="L105" s="231" t="str">
        <f t="shared" ca="1" si="8"/>
        <v/>
      </c>
    </row>
    <row r="106" spans="1:12" x14ac:dyDescent="0.25">
      <c r="A106" s="227" t="str">
        <f>TEXT('1 Récapitulation'!$E$10 &amp; "-SHR","@")</f>
        <v>-SHR</v>
      </c>
      <c r="B106" s="228" t="str">
        <f ca="1">TEXT(IF(G106&lt;&gt; 0,OFFSET(INDIRECT(rtI.Anker2b),26,0),""),"@")</f>
        <v/>
      </c>
      <c r="C106" s="227" t="s">
        <v>9</v>
      </c>
      <c r="D106" s="227" t="s">
        <v>2</v>
      </c>
      <c r="E106" s="227" t="s">
        <v>37</v>
      </c>
      <c r="F106" s="227" t="s">
        <v>42</v>
      </c>
      <c r="G106" s="229">
        <f ca="1">OFFSET(INDIRECT(rtI.Anker2b),26,4)</f>
        <v>0</v>
      </c>
      <c r="H106" s="227" t="str">
        <f t="shared" ca="1" si="5"/>
        <v/>
      </c>
      <c r="I106" s="227" t="str">
        <f t="shared" ca="1" si="9"/>
        <v/>
      </c>
      <c r="J106" s="227" t="str">
        <f t="shared" ca="1" si="6"/>
        <v/>
      </c>
      <c r="K106" s="230" t="str">
        <f t="shared" ca="1" si="7"/>
        <v/>
      </c>
      <c r="L106" s="231" t="str">
        <f t="shared" ca="1" si="8"/>
        <v/>
      </c>
    </row>
    <row r="107" spans="1:12" x14ac:dyDescent="0.25">
      <c r="A107" s="227" t="str">
        <f>TEXT('1 Récapitulation'!$E$10 &amp; "-SHR","@")</f>
        <v>-SHR</v>
      </c>
      <c r="B107" s="228" t="str">
        <f ca="1">TEXT(IF(G107&lt;&gt; 0,OFFSET(INDIRECT(rtI.Anker2b),27,0),""),"@")</f>
        <v/>
      </c>
      <c r="C107" s="227" t="s">
        <v>9</v>
      </c>
      <c r="D107" s="227" t="s">
        <v>2</v>
      </c>
      <c r="E107" s="227" t="s">
        <v>37</v>
      </c>
      <c r="F107" s="227" t="s">
        <v>42</v>
      </c>
      <c r="G107" s="229">
        <f ca="1">OFFSET(INDIRECT(rtI.Anker2b),27,4)</f>
        <v>0</v>
      </c>
      <c r="H107" s="227" t="str">
        <f t="shared" ca="1" si="5"/>
        <v/>
      </c>
      <c r="I107" s="227" t="str">
        <f t="shared" ca="1" si="9"/>
        <v/>
      </c>
      <c r="J107" s="227" t="str">
        <f t="shared" ca="1" si="6"/>
        <v/>
      </c>
      <c r="K107" s="230" t="str">
        <f t="shared" ca="1" si="7"/>
        <v/>
      </c>
      <c r="L107" s="231" t="str">
        <f t="shared" ca="1" si="8"/>
        <v/>
      </c>
    </row>
    <row r="108" spans="1:12" x14ac:dyDescent="0.25">
      <c r="A108" s="227" t="str">
        <f>TEXT('1 Récapitulation'!$E$10 &amp; "-SHR","@")</f>
        <v>-SHR</v>
      </c>
      <c r="B108" s="228" t="str">
        <f ca="1">TEXT(IF(G108&lt;&gt; 0,OFFSET(INDIRECT(rtI.Anker2b),28,0),""),"@")</f>
        <v/>
      </c>
      <c r="C108" s="227" t="s">
        <v>9</v>
      </c>
      <c r="D108" s="227" t="s">
        <v>2</v>
      </c>
      <c r="E108" s="227" t="s">
        <v>37</v>
      </c>
      <c r="F108" s="227" t="s">
        <v>42</v>
      </c>
      <c r="G108" s="229">
        <f ca="1">OFFSET(INDIRECT(rtI.Anker2b),28,4)</f>
        <v>0</v>
      </c>
      <c r="H108" s="227" t="str">
        <f t="shared" ca="1" si="5"/>
        <v/>
      </c>
      <c r="I108" s="227" t="str">
        <f t="shared" ca="1" si="9"/>
        <v/>
      </c>
      <c r="J108" s="227" t="str">
        <f t="shared" ca="1" si="6"/>
        <v/>
      </c>
      <c r="K108" s="230" t="str">
        <f t="shared" ca="1" si="7"/>
        <v/>
      </c>
      <c r="L108" s="231" t="str">
        <f t="shared" ca="1" si="8"/>
        <v/>
      </c>
    </row>
    <row r="109" spans="1:12" x14ac:dyDescent="0.25">
      <c r="A109" s="227" t="str">
        <f>TEXT('1 Récapitulation'!$E$10 &amp; "-SHR","@")</f>
        <v>-SHR</v>
      </c>
      <c r="B109" s="228" t="str">
        <f ca="1">TEXT(IF(G109&lt;&gt; 0,OFFSET(INDIRECT(rtI.Anker2b),29,0),""),"@")</f>
        <v/>
      </c>
      <c r="C109" s="227" t="s">
        <v>9</v>
      </c>
      <c r="D109" s="227" t="s">
        <v>2</v>
      </c>
      <c r="E109" s="227" t="s">
        <v>37</v>
      </c>
      <c r="F109" s="227" t="s">
        <v>42</v>
      </c>
      <c r="G109" s="229">
        <f ca="1">OFFSET(INDIRECT(rtI.Anker2b),29,4)</f>
        <v>0</v>
      </c>
      <c r="H109" s="227" t="str">
        <f t="shared" ca="1" si="5"/>
        <v/>
      </c>
      <c r="I109" s="227" t="str">
        <f t="shared" ca="1" si="9"/>
        <v/>
      </c>
      <c r="J109" s="227" t="str">
        <f t="shared" ca="1" si="6"/>
        <v/>
      </c>
      <c r="K109" s="230" t="str">
        <f t="shared" ca="1" si="7"/>
        <v/>
      </c>
      <c r="L109" s="231" t="str">
        <f t="shared" ca="1" si="8"/>
        <v/>
      </c>
    </row>
    <row r="110" spans="1:12" x14ac:dyDescent="0.25">
      <c r="A110" s="227" t="str">
        <f>TEXT('1 Récapitulation'!$E$10 &amp; "-SHR","@")</f>
        <v>-SHR</v>
      </c>
      <c r="B110" s="228" t="str">
        <f ca="1">TEXT(IF(G110&lt;&gt; 0,OFFSET(INDIRECT(rtI.Anker2b),30,0),""),"@")</f>
        <v/>
      </c>
      <c r="C110" s="227" t="s">
        <v>9</v>
      </c>
      <c r="D110" s="227" t="s">
        <v>2</v>
      </c>
      <c r="E110" s="227" t="s">
        <v>37</v>
      </c>
      <c r="F110" s="227" t="s">
        <v>42</v>
      </c>
      <c r="G110" s="229">
        <f ca="1">OFFSET(INDIRECT(rtI.Anker2b),30,4)</f>
        <v>0</v>
      </c>
      <c r="H110" s="227" t="str">
        <f t="shared" ca="1" si="5"/>
        <v/>
      </c>
      <c r="I110" s="227" t="str">
        <f t="shared" ca="1" si="9"/>
        <v/>
      </c>
      <c r="J110" s="227" t="str">
        <f t="shared" ca="1" si="6"/>
        <v/>
      </c>
      <c r="K110" s="230" t="str">
        <f t="shared" ca="1" si="7"/>
        <v/>
      </c>
      <c r="L110" s="231" t="str">
        <f t="shared" ca="1" si="8"/>
        <v/>
      </c>
    </row>
    <row r="111" spans="1:12" x14ac:dyDescent="0.25">
      <c r="A111" s="227" t="str">
        <f>TEXT('1 Récapitulation'!$E$10 &amp; "-SHR","@")</f>
        <v>-SHR</v>
      </c>
      <c r="B111" s="228" t="str">
        <f ca="1">TEXT(IF(G111&lt;&gt; 0,OFFSET(INDIRECT(rtI.Anker2b),31,0),""),"@")</f>
        <v/>
      </c>
      <c r="C111" s="227" t="s">
        <v>9</v>
      </c>
      <c r="D111" s="227" t="s">
        <v>2</v>
      </c>
      <c r="E111" s="227" t="s">
        <v>37</v>
      </c>
      <c r="F111" s="227" t="s">
        <v>42</v>
      </c>
      <c r="G111" s="229">
        <f ca="1">OFFSET(INDIRECT(rtI.Anker2b),31,4)</f>
        <v>0</v>
      </c>
      <c r="H111" s="227" t="str">
        <f t="shared" ca="1" si="5"/>
        <v/>
      </c>
      <c r="I111" s="227" t="str">
        <f t="shared" ca="1" si="9"/>
        <v/>
      </c>
      <c r="J111" s="227" t="str">
        <f t="shared" ca="1" si="6"/>
        <v/>
      </c>
      <c r="K111" s="230" t="str">
        <f t="shared" ca="1" si="7"/>
        <v/>
      </c>
      <c r="L111" s="231" t="str">
        <f t="shared" ca="1" si="8"/>
        <v/>
      </c>
    </row>
    <row r="112" spans="1:12" x14ac:dyDescent="0.25">
      <c r="A112" s="227" t="str">
        <f>TEXT('1 Récapitulation'!$E$10 &amp; "-SHR","@")</f>
        <v>-SHR</v>
      </c>
      <c r="B112" s="228" t="str">
        <f ca="1">TEXT(IF(G112&lt;&gt; 0,OFFSET(INDIRECT(rtI.Anker2b),32,0),""),"@")</f>
        <v/>
      </c>
      <c r="C112" s="227" t="s">
        <v>9</v>
      </c>
      <c r="D112" s="227" t="s">
        <v>2</v>
      </c>
      <c r="E112" s="227" t="s">
        <v>37</v>
      </c>
      <c r="F112" s="227" t="s">
        <v>42</v>
      </c>
      <c r="G112" s="229">
        <f ca="1">OFFSET(INDIRECT(rtI.Anker2b),32,4)</f>
        <v>0</v>
      </c>
      <c r="H112" s="227" t="str">
        <f t="shared" ca="1" si="5"/>
        <v/>
      </c>
      <c r="I112" s="227" t="str">
        <f t="shared" ca="1" si="9"/>
        <v/>
      </c>
      <c r="J112" s="227" t="str">
        <f t="shared" ca="1" si="6"/>
        <v/>
      </c>
      <c r="K112" s="230" t="str">
        <f t="shared" ca="1" si="7"/>
        <v/>
      </c>
      <c r="L112" s="231" t="str">
        <f t="shared" ca="1" si="8"/>
        <v/>
      </c>
    </row>
    <row r="113" spans="1:12" x14ac:dyDescent="0.25">
      <c r="A113" s="227" t="str">
        <f>TEXT('1 Récapitulation'!$E$10 &amp; "-SHR","@")</f>
        <v>-SHR</v>
      </c>
      <c r="B113" s="228" t="str">
        <f ca="1">TEXT(IF(G113&lt;&gt; 0,OFFSET(INDIRECT(rtI.Anker2b),33,0),""),"@")</f>
        <v/>
      </c>
      <c r="C113" s="227" t="s">
        <v>9</v>
      </c>
      <c r="D113" s="227" t="s">
        <v>2</v>
      </c>
      <c r="E113" s="227" t="s">
        <v>37</v>
      </c>
      <c r="F113" s="227" t="s">
        <v>42</v>
      </c>
      <c r="G113" s="229">
        <f ca="1">OFFSET(INDIRECT(rtI.Anker2b),33,4)</f>
        <v>0</v>
      </c>
      <c r="H113" s="227" t="str">
        <f t="shared" ca="1" si="5"/>
        <v/>
      </c>
      <c r="I113" s="227" t="str">
        <f t="shared" ca="1" si="9"/>
        <v/>
      </c>
      <c r="J113" s="227" t="str">
        <f t="shared" ca="1" si="6"/>
        <v/>
      </c>
      <c r="K113" s="230" t="str">
        <f t="shared" ca="1" si="7"/>
        <v/>
      </c>
      <c r="L113" s="231" t="str">
        <f t="shared" ca="1" si="8"/>
        <v/>
      </c>
    </row>
    <row r="114" spans="1:12" x14ac:dyDescent="0.25">
      <c r="A114" s="227" t="str">
        <f>TEXT('1 Récapitulation'!$E$10 &amp; "-SHR","@")</f>
        <v>-SHR</v>
      </c>
      <c r="B114" s="228" t="str">
        <f ca="1">TEXT(IF(G114&lt;&gt; 0,OFFSET(INDIRECT(rtI.Anker2b),34,0),""),"@")</f>
        <v/>
      </c>
      <c r="C114" s="227" t="s">
        <v>9</v>
      </c>
      <c r="D114" s="227" t="s">
        <v>2</v>
      </c>
      <c r="E114" s="227" t="s">
        <v>37</v>
      </c>
      <c r="F114" s="227" t="s">
        <v>42</v>
      </c>
      <c r="G114" s="229">
        <f ca="1">OFFSET(INDIRECT(rtI.Anker2b),34,4)</f>
        <v>0</v>
      </c>
      <c r="H114" s="227" t="str">
        <f t="shared" ca="1" si="5"/>
        <v/>
      </c>
      <c r="I114" s="227" t="str">
        <f t="shared" ca="1" si="9"/>
        <v/>
      </c>
      <c r="J114" s="227" t="str">
        <f t="shared" ca="1" si="6"/>
        <v/>
      </c>
      <c r="K114" s="230" t="str">
        <f t="shared" ca="1" si="7"/>
        <v/>
      </c>
      <c r="L114" s="231" t="str">
        <f t="shared" ca="1" si="8"/>
        <v/>
      </c>
    </row>
    <row r="115" spans="1:12" x14ac:dyDescent="0.25">
      <c r="A115" s="227" t="str">
        <f>TEXT('1 Récapitulation'!$E$10 &amp; "-SHR","@")</f>
        <v>-SHR</v>
      </c>
      <c r="B115" s="228" t="str">
        <f ca="1">TEXT(IF(G115&lt;&gt; 0,OFFSET(INDIRECT(rtI.Anker2b),35,0),""),"@")</f>
        <v/>
      </c>
      <c r="C115" s="227" t="s">
        <v>9</v>
      </c>
      <c r="D115" s="227" t="s">
        <v>2</v>
      </c>
      <c r="E115" s="227" t="s">
        <v>37</v>
      </c>
      <c r="F115" s="227" t="s">
        <v>42</v>
      </c>
      <c r="G115" s="229">
        <f ca="1">OFFSET(INDIRECT(rtI.Anker2b),35,4)</f>
        <v>0</v>
      </c>
      <c r="H115" s="227" t="str">
        <f t="shared" ca="1" si="5"/>
        <v/>
      </c>
      <c r="I115" s="227" t="str">
        <f t="shared" ca="1" si="9"/>
        <v/>
      </c>
      <c r="J115" s="227" t="str">
        <f t="shared" ca="1" si="6"/>
        <v/>
      </c>
      <c r="K115" s="230" t="str">
        <f t="shared" ca="1" si="7"/>
        <v/>
      </c>
      <c r="L115" s="231" t="str">
        <f t="shared" ca="1" si="8"/>
        <v/>
      </c>
    </row>
    <row r="116" spans="1:12" x14ac:dyDescent="0.25">
      <c r="A116" s="227" t="str">
        <f>TEXT('1 Récapitulation'!$E$10 &amp; "-SHR","@")</f>
        <v>-SHR</v>
      </c>
      <c r="B116" s="228" t="str">
        <f ca="1">TEXT(IF(G116&lt;&gt; 0,OFFSET(INDIRECT(rtI.Anker2b),36,0),""),"@")</f>
        <v/>
      </c>
      <c r="C116" s="227" t="s">
        <v>9</v>
      </c>
      <c r="D116" s="227" t="s">
        <v>2</v>
      </c>
      <c r="E116" s="227" t="s">
        <v>37</v>
      </c>
      <c r="F116" s="227" t="s">
        <v>42</v>
      </c>
      <c r="G116" s="229">
        <f ca="1">OFFSET(INDIRECT(rtI.Anker2b),36,4)</f>
        <v>0</v>
      </c>
      <c r="H116" s="227" t="str">
        <f t="shared" ca="1" si="5"/>
        <v/>
      </c>
      <c r="I116" s="227" t="str">
        <f t="shared" ca="1" si="9"/>
        <v/>
      </c>
      <c r="J116" s="227" t="str">
        <f t="shared" ca="1" si="6"/>
        <v/>
      </c>
      <c r="K116" s="230" t="str">
        <f t="shared" ca="1" si="7"/>
        <v/>
      </c>
      <c r="L116" s="231" t="str">
        <f t="shared" ca="1" si="8"/>
        <v/>
      </c>
    </row>
    <row r="117" spans="1:12" x14ac:dyDescent="0.25">
      <c r="A117" s="227" t="str">
        <f>TEXT('1 Récapitulation'!$E$10 &amp; "-SHR","@")</f>
        <v>-SHR</v>
      </c>
      <c r="B117" s="228" t="str">
        <f ca="1">TEXT(IF(G117&lt;&gt; 0,OFFSET(INDIRECT(rtI.Anker2b),37,0),""),"@")</f>
        <v/>
      </c>
      <c r="C117" s="227" t="s">
        <v>9</v>
      </c>
      <c r="D117" s="227" t="s">
        <v>2</v>
      </c>
      <c r="E117" s="227" t="s">
        <v>37</v>
      </c>
      <c r="F117" s="227" t="s">
        <v>42</v>
      </c>
      <c r="G117" s="229">
        <f ca="1">OFFSET(INDIRECT(rtI.Anker2b),37,4)</f>
        <v>0</v>
      </c>
      <c r="H117" s="227" t="str">
        <f t="shared" ca="1" si="5"/>
        <v/>
      </c>
      <c r="I117" s="227" t="str">
        <f t="shared" ca="1" si="9"/>
        <v/>
      </c>
      <c r="J117" s="227" t="str">
        <f t="shared" ca="1" si="6"/>
        <v/>
      </c>
      <c r="K117" s="230" t="str">
        <f t="shared" ca="1" si="7"/>
        <v/>
      </c>
      <c r="L117" s="231" t="str">
        <f t="shared" ca="1" si="8"/>
        <v/>
      </c>
    </row>
    <row r="118" spans="1:12" x14ac:dyDescent="0.25">
      <c r="A118" s="227" t="str">
        <f>TEXT('1 Récapitulation'!$E$10 &amp; "-SHR","@")</f>
        <v>-SHR</v>
      </c>
      <c r="B118" s="228" t="str">
        <f ca="1">TEXT(IF(G118&lt;&gt; 0,OFFSET(INDIRECT(rtI.Anker2b),38,0),""),"@")</f>
        <v/>
      </c>
      <c r="C118" s="227" t="s">
        <v>9</v>
      </c>
      <c r="D118" s="227" t="s">
        <v>2</v>
      </c>
      <c r="E118" s="227" t="s">
        <v>37</v>
      </c>
      <c r="F118" s="227" t="s">
        <v>42</v>
      </c>
      <c r="G118" s="229">
        <f ca="1">OFFSET(INDIRECT(rtI.Anker2b),38,4)</f>
        <v>0</v>
      </c>
      <c r="H118" s="227" t="str">
        <f t="shared" ca="1" si="5"/>
        <v/>
      </c>
      <c r="I118" s="227" t="str">
        <f t="shared" ca="1" si="9"/>
        <v/>
      </c>
      <c r="J118" s="227" t="str">
        <f t="shared" ca="1" si="6"/>
        <v/>
      </c>
      <c r="K118" s="230" t="str">
        <f t="shared" ca="1" si="7"/>
        <v/>
      </c>
      <c r="L118" s="231" t="str">
        <f t="shared" ca="1" si="8"/>
        <v/>
      </c>
    </row>
    <row r="119" spans="1:12" x14ac:dyDescent="0.25">
      <c r="A119" s="227" t="str">
        <f>TEXT('1 Récapitulation'!$E$10 &amp; "-SHR","@")</f>
        <v>-SHR</v>
      </c>
      <c r="B119" s="228" t="str">
        <f ca="1">TEXT(IF(G119&lt;&gt; 0,OFFSET(INDIRECT(rtI.Anker2b),0,0),""),"@")</f>
        <v/>
      </c>
      <c r="C119" s="227" t="s">
        <v>9</v>
      </c>
      <c r="D119" s="227" t="s">
        <v>43</v>
      </c>
      <c r="E119" s="227" t="s">
        <v>37</v>
      </c>
      <c r="F119" s="227" t="s">
        <v>44</v>
      </c>
      <c r="G119" s="229">
        <f ca="1">OFFSET(INDIRECT(rtI.Anker2b),0,5)</f>
        <v>0</v>
      </c>
      <c r="H119" s="227" t="str">
        <f t="shared" ca="1" si="5"/>
        <v/>
      </c>
      <c r="I119" s="227" t="str">
        <f t="shared" ca="1" si="9"/>
        <v/>
      </c>
      <c r="J119" s="227" t="str">
        <f t="shared" ca="1" si="6"/>
        <v/>
      </c>
      <c r="K119" s="230" t="str">
        <f t="shared" ca="1" si="7"/>
        <v/>
      </c>
      <c r="L119" s="231" t="str">
        <f t="shared" ca="1" si="8"/>
        <v/>
      </c>
    </row>
    <row r="120" spans="1:12" x14ac:dyDescent="0.25">
      <c r="A120" s="227" t="str">
        <f>TEXT('1 Récapitulation'!$E$10 &amp; "-SHR","@")</f>
        <v>-SHR</v>
      </c>
      <c r="B120" s="228" t="str">
        <f ca="1">TEXT(IF(G120&lt;&gt; 0,OFFSET(INDIRECT(rtI.Anker2b),1,0),""),"@")</f>
        <v/>
      </c>
      <c r="C120" s="227" t="s">
        <v>9</v>
      </c>
      <c r="D120" s="227" t="s">
        <v>43</v>
      </c>
      <c r="E120" s="227" t="s">
        <v>37</v>
      </c>
      <c r="F120" s="227" t="s">
        <v>44</v>
      </c>
      <c r="G120" s="229">
        <f ca="1">OFFSET(INDIRECT(rtI.Anker2b),1,5)</f>
        <v>0</v>
      </c>
      <c r="H120" s="227" t="str">
        <f t="shared" ca="1" si="5"/>
        <v/>
      </c>
      <c r="I120" s="227" t="str">
        <f t="shared" ca="1" si="9"/>
        <v/>
      </c>
      <c r="J120" s="227" t="str">
        <f t="shared" ca="1" si="6"/>
        <v/>
      </c>
      <c r="K120" s="230" t="str">
        <f t="shared" ca="1" si="7"/>
        <v/>
      </c>
      <c r="L120" s="231" t="str">
        <f t="shared" ca="1" si="8"/>
        <v/>
      </c>
    </row>
    <row r="121" spans="1:12" x14ac:dyDescent="0.25">
      <c r="A121" s="227" t="str">
        <f>TEXT('1 Récapitulation'!$E$10 &amp; "-SHR","@")</f>
        <v>-SHR</v>
      </c>
      <c r="B121" s="228" t="str">
        <f ca="1">TEXT(IF(G121&lt;&gt; 0,OFFSET(INDIRECT(rtI.Anker2b),2,0),""),"@")</f>
        <v/>
      </c>
      <c r="C121" s="227" t="s">
        <v>9</v>
      </c>
      <c r="D121" s="227" t="s">
        <v>43</v>
      </c>
      <c r="E121" s="227" t="s">
        <v>37</v>
      </c>
      <c r="F121" s="227" t="s">
        <v>44</v>
      </c>
      <c r="G121" s="229">
        <f ca="1">OFFSET(INDIRECT(rtI.Anker2b),2,5)</f>
        <v>0</v>
      </c>
      <c r="H121" s="227" t="str">
        <f t="shared" ca="1" si="5"/>
        <v/>
      </c>
      <c r="I121" s="227" t="str">
        <f t="shared" ca="1" si="9"/>
        <v/>
      </c>
      <c r="J121" s="227" t="str">
        <f t="shared" ca="1" si="6"/>
        <v/>
      </c>
      <c r="K121" s="230" t="str">
        <f t="shared" ca="1" si="7"/>
        <v/>
      </c>
      <c r="L121" s="231" t="str">
        <f t="shared" ca="1" si="8"/>
        <v/>
      </c>
    </row>
    <row r="122" spans="1:12" x14ac:dyDescent="0.25">
      <c r="A122" s="227" t="str">
        <f>TEXT('1 Récapitulation'!$E$10 &amp; "-SHR","@")</f>
        <v>-SHR</v>
      </c>
      <c r="B122" s="228" t="str">
        <f ca="1">TEXT(IF(G122&lt;&gt; 0,OFFSET(INDIRECT(rtI.Anker2b),3,0),""),"@")</f>
        <v/>
      </c>
      <c r="C122" s="227" t="s">
        <v>9</v>
      </c>
      <c r="D122" s="227" t="s">
        <v>43</v>
      </c>
      <c r="E122" s="227" t="s">
        <v>37</v>
      </c>
      <c r="F122" s="227" t="s">
        <v>44</v>
      </c>
      <c r="G122" s="229">
        <f ca="1">OFFSET(INDIRECT(rtI.Anker2b),3,5)</f>
        <v>0</v>
      </c>
      <c r="H122" s="227" t="str">
        <f t="shared" ca="1" si="5"/>
        <v/>
      </c>
      <c r="I122" s="227" t="str">
        <f t="shared" ca="1" si="9"/>
        <v/>
      </c>
      <c r="J122" s="227" t="str">
        <f t="shared" ca="1" si="6"/>
        <v/>
      </c>
      <c r="K122" s="230" t="str">
        <f t="shared" ca="1" si="7"/>
        <v/>
      </c>
      <c r="L122" s="231" t="str">
        <f t="shared" ca="1" si="8"/>
        <v/>
      </c>
    </row>
    <row r="123" spans="1:12" x14ac:dyDescent="0.25">
      <c r="A123" s="227" t="str">
        <f>TEXT('1 Récapitulation'!$E$10 &amp; "-SHR","@")</f>
        <v>-SHR</v>
      </c>
      <c r="B123" s="228" t="str">
        <f ca="1">TEXT(IF(G123&lt;&gt; 0,OFFSET(INDIRECT(rtI.Anker2b),4,0),""),"@")</f>
        <v/>
      </c>
      <c r="C123" s="227" t="s">
        <v>9</v>
      </c>
      <c r="D123" s="227" t="s">
        <v>43</v>
      </c>
      <c r="E123" s="227" t="s">
        <v>37</v>
      </c>
      <c r="F123" s="227" t="s">
        <v>44</v>
      </c>
      <c r="G123" s="229">
        <f ca="1">OFFSET(INDIRECT(rtI.Anker2b),4,5)</f>
        <v>0</v>
      </c>
      <c r="H123" s="227" t="str">
        <f t="shared" ca="1" si="5"/>
        <v/>
      </c>
      <c r="I123" s="227" t="str">
        <f t="shared" ca="1" si="9"/>
        <v/>
      </c>
      <c r="J123" s="227" t="str">
        <f t="shared" ca="1" si="6"/>
        <v/>
      </c>
      <c r="K123" s="230" t="str">
        <f t="shared" ca="1" si="7"/>
        <v/>
      </c>
      <c r="L123" s="231" t="str">
        <f t="shared" ca="1" si="8"/>
        <v/>
      </c>
    </row>
    <row r="124" spans="1:12" x14ac:dyDescent="0.25">
      <c r="A124" s="227" t="str">
        <f>TEXT('1 Récapitulation'!$E$10 &amp; "-SHR","@")</f>
        <v>-SHR</v>
      </c>
      <c r="B124" s="228" t="str">
        <f ca="1">TEXT(IF(G124&lt;&gt; 0,OFFSET(INDIRECT(rtI.Anker2b),5,0),""),"@")</f>
        <v/>
      </c>
      <c r="C124" s="227" t="s">
        <v>9</v>
      </c>
      <c r="D124" s="227" t="s">
        <v>43</v>
      </c>
      <c r="E124" s="227" t="s">
        <v>37</v>
      </c>
      <c r="F124" s="227" t="s">
        <v>44</v>
      </c>
      <c r="G124" s="229">
        <f ca="1">OFFSET(INDIRECT(rtI.Anker2b),5,5)</f>
        <v>0</v>
      </c>
      <c r="H124" s="227" t="str">
        <f t="shared" ca="1" si="5"/>
        <v/>
      </c>
      <c r="I124" s="227" t="str">
        <f t="shared" ca="1" si="9"/>
        <v/>
      </c>
      <c r="J124" s="227" t="str">
        <f t="shared" ca="1" si="6"/>
        <v/>
      </c>
      <c r="K124" s="230" t="str">
        <f t="shared" ca="1" si="7"/>
        <v/>
      </c>
      <c r="L124" s="231" t="str">
        <f t="shared" ca="1" si="8"/>
        <v/>
      </c>
    </row>
    <row r="125" spans="1:12" x14ac:dyDescent="0.25">
      <c r="A125" s="227" t="str">
        <f>TEXT('1 Récapitulation'!$E$10 &amp; "-SHR","@")</f>
        <v>-SHR</v>
      </c>
      <c r="B125" s="228" t="str">
        <f ca="1">TEXT(IF(G125&lt;&gt; 0,OFFSET(INDIRECT(rtI.Anker2b),6,0),""),"@")</f>
        <v/>
      </c>
      <c r="C125" s="227" t="s">
        <v>9</v>
      </c>
      <c r="D125" s="227" t="s">
        <v>43</v>
      </c>
      <c r="E125" s="227" t="s">
        <v>37</v>
      </c>
      <c r="F125" s="227" t="s">
        <v>44</v>
      </c>
      <c r="G125" s="229">
        <f ca="1">OFFSET(INDIRECT(rtI.Anker2b),6,5)</f>
        <v>0</v>
      </c>
      <c r="H125" s="227" t="str">
        <f t="shared" ca="1" si="5"/>
        <v/>
      </c>
      <c r="I125" s="227" t="str">
        <f t="shared" ca="1" si="9"/>
        <v/>
      </c>
      <c r="J125" s="227" t="str">
        <f t="shared" ca="1" si="6"/>
        <v/>
      </c>
      <c r="K125" s="230" t="str">
        <f t="shared" ca="1" si="7"/>
        <v/>
      </c>
      <c r="L125" s="231" t="str">
        <f t="shared" ca="1" si="8"/>
        <v/>
      </c>
    </row>
    <row r="126" spans="1:12" x14ac:dyDescent="0.25">
      <c r="A126" s="227" t="str">
        <f>TEXT('1 Récapitulation'!$E$10 &amp; "-SHR","@")</f>
        <v>-SHR</v>
      </c>
      <c r="B126" s="228" t="str">
        <f ca="1">TEXT(IF(G126&lt;&gt; 0,OFFSET(INDIRECT(rtI.Anker2b),7,0),""),"@")</f>
        <v/>
      </c>
      <c r="C126" s="227" t="s">
        <v>9</v>
      </c>
      <c r="D126" s="227" t="s">
        <v>43</v>
      </c>
      <c r="E126" s="227" t="s">
        <v>37</v>
      </c>
      <c r="F126" s="227" t="s">
        <v>44</v>
      </c>
      <c r="G126" s="229">
        <f ca="1">OFFSET(INDIRECT(rtI.Anker2b),7,5)</f>
        <v>0</v>
      </c>
      <c r="H126" s="227" t="str">
        <f t="shared" ca="1" si="5"/>
        <v/>
      </c>
      <c r="I126" s="227" t="str">
        <f t="shared" ca="1" si="9"/>
        <v/>
      </c>
      <c r="J126" s="227" t="str">
        <f t="shared" ca="1" si="6"/>
        <v/>
      </c>
      <c r="K126" s="230" t="str">
        <f t="shared" ca="1" si="7"/>
        <v/>
      </c>
      <c r="L126" s="231" t="str">
        <f t="shared" ca="1" si="8"/>
        <v/>
      </c>
    </row>
    <row r="127" spans="1:12" x14ac:dyDescent="0.25">
      <c r="A127" s="227" t="str">
        <f>TEXT('1 Récapitulation'!$E$10 &amp; "-SHR","@")</f>
        <v>-SHR</v>
      </c>
      <c r="B127" s="228" t="str">
        <f ca="1">TEXT(IF(G127&lt;&gt; 0,OFFSET(INDIRECT(rtI.Anker2b),8,0),""),"@")</f>
        <v/>
      </c>
      <c r="C127" s="227" t="s">
        <v>9</v>
      </c>
      <c r="D127" s="227" t="s">
        <v>43</v>
      </c>
      <c r="E127" s="227" t="s">
        <v>37</v>
      </c>
      <c r="F127" s="227" t="s">
        <v>44</v>
      </c>
      <c r="G127" s="229">
        <f ca="1">OFFSET(INDIRECT(rtI.Anker2b),8,5)</f>
        <v>0</v>
      </c>
      <c r="H127" s="227" t="str">
        <f t="shared" ca="1" si="5"/>
        <v/>
      </c>
      <c r="I127" s="227" t="str">
        <f t="shared" ca="1" si="9"/>
        <v/>
      </c>
      <c r="J127" s="227" t="str">
        <f t="shared" ca="1" si="6"/>
        <v/>
      </c>
      <c r="K127" s="230" t="str">
        <f t="shared" ca="1" si="7"/>
        <v/>
      </c>
      <c r="L127" s="231" t="str">
        <f t="shared" ca="1" si="8"/>
        <v/>
      </c>
    </row>
    <row r="128" spans="1:12" x14ac:dyDescent="0.25">
      <c r="A128" s="227" t="str">
        <f>TEXT('1 Récapitulation'!$E$10 &amp; "-SHR","@")</f>
        <v>-SHR</v>
      </c>
      <c r="B128" s="228" t="str">
        <f ca="1">TEXT(IF(G128&lt;&gt; 0,OFFSET(INDIRECT(rtI.Anker2b),9,0),""),"@")</f>
        <v/>
      </c>
      <c r="C128" s="227" t="s">
        <v>9</v>
      </c>
      <c r="D128" s="227" t="s">
        <v>43</v>
      </c>
      <c r="E128" s="227" t="s">
        <v>37</v>
      </c>
      <c r="F128" s="227" t="s">
        <v>44</v>
      </c>
      <c r="G128" s="229">
        <f ca="1">OFFSET(INDIRECT(rtI.Anker2b),9,5)</f>
        <v>0</v>
      </c>
      <c r="H128" s="227" t="str">
        <f t="shared" ca="1" si="5"/>
        <v/>
      </c>
      <c r="I128" s="227" t="str">
        <f t="shared" ca="1" si="9"/>
        <v/>
      </c>
      <c r="J128" s="227" t="str">
        <f t="shared" ca="1" si="6"/>
        <v/>
      </c>
      <c r="K128" s="230" t="str">
        <f t="shared" ca="1" si="7"/>
        <v/>
      </c>
      <c r="L128" s="231" t="str">
        <f t="shared" ca="1" si="8"/>
        <v/>
      </c>
    </row>
    <row r="129" spans="1:12" x14ac:dyDescent="0.25">
      <c r="A129" s="227" t="str">
        <f>TEXT('1 Récapitulation'!$E$10 &amp; "-SHR","@")</f>
        <v>-SHR</v>
      </c>
      <c r="B129" s="228" t="str">
        <f ca="1">TEXT(IF(G129&lt;&gt; 0,OFFSET(INDIRECT(rtI.Anker2b),10,0),""),"@")</f>
        <v/>
      </c>
      <c r="C129" s="227" t="s">
        <v>9</v>
      </c>
      <c r="D129" s="227" t="s">
        <v>43</v>
      </c>
      <c r="E129" s="227" t="s">
        <v>37</v>
      </c>
      <c r="F129" s="227" t="s">
        <v>44</v>
      </c>
      <c r="G129" s="229">
        <f ca="1">OFFSET(INDIRECT(rtI.Anker2b),10,5)</f>
        <v>0</v>
      </c>
      <c r="H129" s="227" t="str">
        <f t="shared" ca="1" si="5"/>
        <v/>
      </c>
      <c r="I129" s="227" t="str">
        <f t="shared" ca="1" si="9"/>
        <v/>
      </c>
      <c r="J129" s="227" t="str">
        <f t="shared" ca="1" si="6"/>
        <v/>
      </c>
      <c r="K129" s="230" t="str">
        <f t="shared" ca="1" si="7"/>
        <v/>
      </c>
      <c r="L129" s="231" t="str">
        <f t="shared" ca="1" si="8"/>
        <v/>
      </c>
    </row>
    <row r="130" spans="1:12" x14ac:dyDescent="0.25">
      <c r="A130" s="227" t="str">
        <f>TEXT('1 Récapitulation'!$E$10 &amp; "-SHR","@")</f>
        <v>-SHR</v>
      </c>
      <c r="B130" s="228" t="str">
        <f ca="1">TEXT(IF(G130&lt;&gt; 0,OFFSET(INDIRECT(rtI.Anker2b),11,0),""),"@")</f>
        <v/>
      </c>
      <c r="C130" s="227" t="s">
        <v>9</v>
      </c>
      <c r="D130" s="227" t="s">
        <v>43</v>
      </c>
      <c r="E130" s="227" t="s">
        <v>37</v>
      </c>
      <c r="F130" s="227" t="s">
        <v>44</v>
      </c>
      <c r="G130" s="229">
        <f ca="1">OFFSET(INDIRECT(rtI.Anker2b),11,5)</f>
        <v>0</v>
      </c>
      <c r="H130" s="227" t="str">
        <f t="shared" ref="H130:H193" ca="1" si="10">IF(G130&lt;&gt;0,IF(F130="1000","Aufwand",IF(OR(F130="1001",F130="1002",F130="1003",F130="1004",F130="1004",F130="1005",F130="1006"),"Ertrag","")),"")</f>
        <v/>
      </c>
      <c r="I130" s="227" t="str">
        <f t="shared" ca="1" si="9"/>
        <v/>
      </c>
      <c r="J130" s="227" t="str">
        <f t="shared" ref="J130:J193" ca="1" si="11">IF(H130="Aufwand","Total Aufwand",IF(H130="Ertrag","Total Ertrag",""))</f>
        <v/>
      </c>
      <c r="K130" s="230" t="str">
        <f t="shared" ref="K130:K193" ca="1" si="12">IF(H130&lt;&gt;"","999999999.99","")</f>
        <v/>
      </c>
      <c r="L130" s="231" t="str">
        <f t="shared" ref="L130:L193" ca="1" si="13">IF(H130="Aufwand","900",IF(H130="Ertrag","901",""))</f>
        <v/>
      </c>
    </row>
    <row r="131" spans="1:12" x14ac:dyDescent="0.25">
      <c r="A131" s="227" t="str">
        <f>TEXT('1 Récapitulation'!$E$10 &amp; "-SHR","@")</f>
        <v>-SHR</v>
      </c>
      <c r="B131" s="228" t="str">
        <f ca="1">TEXT(IF(G131&lt;&gt; 0,OFFSET(INDIRECT(rtI.Anker2b),12,0),""),"@")</f>
        <v/>
      </c>
      <c r="C131" s="227" t="s">
        <v>9</v>
      </c>
      <c r="D131" s="227" t="s">
        <v>43</v>
      </c>
      <c r="E131" s="227" t="s">
        <v>37</v>
      </c>
      <c r="F131" s="227" t="s">
        <v>44</v>
      </c>
      <c r="G131" s="229">
        <f ca="1">OFFSET(INDIRECT(rtI.Anker2b),12,5)</f>
        <v>0</v>
      </c>
      <c r="H131" s="227" t="str">
        <f t="shared" ca="1" si="10"/>
        <v/>
      </c>
      <c r="I131" s="227" t="str">
        <f t="shared" ref="I131:I194" ca="1" si="14">IF(H131&lt;&gt;"","Total","")</f>
        <v/>
      </c>
      <c r="J131" s="227" t="str">
        <f t="shared" ca="1" si="11"/>
        <v/>
      </c>
      <c r="K131" s="230" t="str">
        <f t="shared" ca="1" si="12"/>
        <v/>
      </c>
      <c r="L131" s="231" t="str">
        <f t="shared" ca="1" si="13"/>
        <v/>
      </c>
    </row>
    <row r="132" spans="1:12" x14ac:dyDescent="0.25">
      <c r="A132" s="227" t="str">
        <f>TEXT('1 Récapitulation'!$E$10 &amp; "-SHR","@")</f>
        <v>-SHR</v>
      </c>
      <c r="B132" s="228" t="str">
        <f ca="1">TEXT(IF(G132&lt;&gt; 0,OFFSET(INDIRECT(rtI.Anker2b),13,0),""),"@")</f>
        <v/>
      </c>
      <c r="C132" s="227" t="s">
        <v>9</v>
      </c>
      <c r="D132" s="227" t="s">
        <v>43</v>
      </c>
      <c r="E132" s="227" t="s">
        <v>37</v>
      </c>
      <c r="F132" s="227" t="s">
        <v>44</v>
      </c>
      <c r="G132" s="229">
        <f ca="1">OFFSET(INDIRECT(rtI.Anker2b),13,5)</f>
        <v>0</v>
      </c>
      <c r="H132" s="227" t="str">
        <f t="shared" ca="1" si="10"/>
        <v/>
      </c>
      <c r="I132" s="227" t="str">
        <f t="shared" ca="1" si="14"/>
        <v/>
      </c>
      <c r="J132" s="227" t="str">
        <f t="shared" ca="1" si="11"/>
        <v/>
      </c>
      <c r="K132" s="230" t="str">
        <f t="shared" ca="1" si="12"/>
        <v/>
      </c>
      <c r="L132" s="231" t="str">
        <f t="shared" ca="1" si="13"/>
        <v/>
      </c>
    </row>
    <row r="133" spans="1:12" x14ac:dyDescent="0.25">
      <c r="A133" s="227" t="str">
        <f>TEXT('1 Récapitulation'!$E$10 &amp; "-SHR","@")</f>
        <v>-SHR</v>
      </c>
      <c r="B133" s="228" t="str">
        <f ca="1">TEXT(IF(G133&lt;&gt; 0,OFFSET(INDIRECT(rtI.Anker2b),14,0),""),"@")</f>
        <v/>
      </c>
      <c r="C133" s="227" t="s">
        <v>9</v>
      </c>
      <c r="D133" s="227" t="s">
        <v>43</v>
      </c>
      <c r="E133" s="227" t="s">
        <v>37</v>
      </c>
      <c r="F133" s="227" t="s">
        <v>44</v>
      </c>
      <c r="G133" s="229">
        <f ca="1">OFFSET(INDIRECT(rtI.Anker2b),14,5)</f>
        <v>0</v>
      </c>
      <c r="H133" s="227" t="str">
        <f t="shared" ca="1" si="10"/>
        <v/>
      </c>
      <c r="I133" s="227" t="str">
        <f t="shared" ca="1" si="14"/>
        <v/>
      </c>
      <c r="J133" s="227" t="str">
        <f t="shared" ca="1" si="11"/>
        <v/>
      </c>
      <c r="K133" s="230" t="str">
        <f t="shared" ca="1" si="12"/>
        <v/>
      </c>
      <c r="L133" s="231" t="str">
        <f t="shared" ca="1" si="13"/>
        <v/>
      </c>
    </row>
    <row r="134" spans="1:12" x14ac:dyDescent="0.25">
      <c r="A134" s="227" t="str">
        <f>TEXT('1 Récapitulation'!$E$10 &amp; "-SHR","@")</f>
        <v>-SHR</v>
      </c>
      <c r="B134" s="228" t="str">
        <f ca="1">TEXT(IF(G134&lt;&gt; 0,OFFSET(INDIRECT(rtI.Anker2b),15,0),""),"@")</f>
        <v/>
      </c>
      <c r="C134" s="227" t="s">
        <v>9</v>
      </c>
      <c r="D134" s="227" t="s">
        <v>43</v>
      </c>
      <c r="E134" s="227" t="s">
        <v>37</v>
      </c>
      <c r="F134" s="227" t="s">
        <v>44</v>
      </c>
      <c r="G134" s="229">
        <f ca="1">OFFSET(INDIRECT(rtI.Anker2b),15,5)</f>
        <v>0</v>
      </c>
      <c r="H134" s="227" t="str">
        <f t="shared" ca="1" si="10"/>
        <v/>
      </c>
      <c r="I134" s="227" t="str">
        <f t="shared" ca="1" si="14"/>
        <v/>
      </c>
      <c r="J134" s="227" t="str">
        <f t="shared" ca="1" si="11"/>
        <v/>
      </c>
      <c r="K134" s="230" t="str">
        <f t="shared" ca="1" si="12"/>
        <v/>
      </c>
      <c r="L134" s="231" t="str">
        <f t="shared" ca="1" si="13"/>
        <v/>
      </c>
    </row>
    <row r="135" spans="1:12" x14ac:dyDescent="0.25">
      <c r="A135" s="227" t="str">
        <f>TEXT('1 Récapitulation'!$E$10 &amp; "-SHR","@")</f>
        <v>-SHR</v>
      </c>
      <c r="B135" s="228" t="str">
        <f ca="1">TEXT(IF(G135&lt;&gt; 0,OFFSET(INDIRECT(rtI.Anker2b),16,0),""),"@")</f>
        <v/>
      </c>
      <c r="C135" s="227" t="s">
        <v>9</v>
      </c>
      <c r="D135" s="227" t="s">
        <v>43</v>
      </c>
      <c r="E135" s="227" t="s">
        <v>37</v>
      </c>
      <c r="F135" s="227" t="s">
        <v>44</v>
      </c>
      <c r="G135" s="229">
        <f ca="1">OFFSET(INDIRECT(rtI.Anker2b),16,5)</f>
        <v>0</v>
      </c>
      <c r="H135" s="227" t="str">
        <f t="shared" ca="1" si="10"/>
        <v/>
      </c>
      <c r="I135" s="227" t="str">
        <f t="shared" ca="1" si="14"/>
        <v/>
      </c>
      <c r="J135" s="227" t="str">
        <f t="shared" ca="1" si="11"/>
        <v/>
      </c>
      <c r="K135" s="230" t="str">
        <f t="shared" ca="1" si="12"/>
        <v/>
      </c>
      <c r="L135" s="231" t="str">
        <f t="shared" ca="1" si="13"/>
        <v/>
      </c>
    </row>
    <row r="136" spans="1:12" x14ac:dyDescent="0.25">
      <c r="A136" s="227" t="str">
        <f>TEXT('1 Récapitulation'!$E$10 &amp; "-SHR","@")</f>
        <v>-SHR</v>
      </c>
      <c r="B136" s="228" t="str">
        <f ca="1">TEXT(IF(G136&lt;&gt; 0,OFFSET(INDIRECT(rtI.Anker2b),17,0),""),"@")</f>
        <v/>
      </c>
      <c r="C136" s="227" t="s">
        <v>9</v>
      </c>
      <c r="D136" s="227" t="s">
        <v>43</v>
      </c>
      <c r="E136" s="227" t="s">
        <v>37</v>
      </c>
      <c r="F136" s="227" t="s">
        <v>44</v>
      </c>
      <c r="G136" s="229">
        <f ca="1">OFFSET(INDIRECT(rtI.Anker2b),17,5)</f>
        <v>0</v>
      </c>
      <c r="H136" s="227" t="str">
        <f t="shared" ca="1" si="10"/>
        <v/>
      </c>
      <c r="I136" s="227" t="str">
        <f t="shared" ca="1" si="14"/>
        <v/>
      </c>
      <c r="J136" s="227" t="str">
        <f t="shared" ca="1" si="11"/>
        <v/>
      </c>
      <c r="K136" s="230" t="str">
        <f t="shared" ca="1" si="12"/>
        <v/>
      </c>
      <c r="L136" s="231" t="str">
        <f t="shared" ca="1" si="13"/>
        <v/>
      </c>
    </row>
    <row r="137" spans="1:12" x14ac:dyDescent="0.25">
      <c r="A137" s="227" t="str">
        <f>TEXT('1 Récapitulation'!$E$10 &amp; "-SHR","@")</f>
        <v>-SHR</v>
      </c>
      <c r="B137" s="228" t="str">
        <f ca="1">TEXT(IF(G137&lt;&gt; 0,OFFSET(INDIRECT(rtI.Anker2b),18,0),""),"@")</f>
        <v/>
      </c>
      <c r="C137" s="227" t="s">
        <v>9</v>
      </c>
      <c r="D137" s="227" t="s">
        <v>43</v>
      </c>
      <c r="E137" s="227" t="s">
        <v>37</v>
      </c>
      <c r="F137" s="227" t="s">
        <v>44</v>
      </c>
      <c r="G137" s="229">
        <f ca="1">OFFSET(INDIRECT(rtI.Anker2b),18,5)</f>
        <v>0</v>
      </c>
      <c r="H137" s="227" t="str">
        <f t="shared" ca="1" si="10"/>
        <v/>
      </c>
      <c r="I137" s="227" t="str">
        <f t="shared" ca="1" si="14"/>
        <v/>
      </c>
      <c r="J137" s="227" t="str">
        <f t="shared" ca="1" si="11"/>
        <v/>
      </c>
      <c r="K137" s="230" t="str">
        <f t="shared" ca="1" si="12"/>
        <v/>
      </c>
      <c r="L137" s="231" t="str">
        <f t="shared" ca="1" si="13"/>
        <v/>
      </c>
    </row>
    <row r="138" spans="1:12" x14ac:dyDescent="0.25">
      <c r="A138" s="227" t="str">
        <f>TEXT('1 Récapitulation'!$E$10 &amp; "-SHR","@")</f>
        <v>-SHR</v>
      </c>
      <c r="B138" s="228" t="str">
        <f ca="1">TEXT(IF(G138&lt;&gt; 0,OFFSET(INDIRECT(rtI.Anker2b),19,0),""),"@")</f>
        <v/>
      </c>
      <c r="C138" s="227" t="s">
        <v>9</v>
      </c>
      <c r="D138" s="227" t="s">
        <v>43</v>
      </c>
      <c r="E138" s="227" t="s">
        <v>37</v>
      </c>
      <c r="F138" s="227" t="s">
        <v>44</v>
      </c>
      <c r="G138" s="229">
        <f ca="1">OFFSET(INDIRECT(rtI.Anker2b),19,5)</f>
        <v>0</v>
      </c>
      <c r="H138" s="227" t="str">
        <f t="shared" ca="1" si="10"/>
        <v/>
      </c>
      <c r="I138" s="227" t="str">
        <f t="shared" ca="1" si="14"/>
        <v/>
      </c>
      <c r="J138" s="227" t="str">
        <f t="shared" ca="1" si="11"/>
        <v/>
      </c>
      <c r="K138" s="230" t="str">
        <f t="shared" ca="1" si="12"/>
        <v/>
      </c>
      <c r="L138" s="231" t="str">
        <f t="shared" ca="1" si="13"/>
        <v/>
      </c>
    </row>
    <row r="139" spans="1:12" x14ac:dyDescent="0.25">
      <c r="A139" s="227" t="str">
        <f>TEXT('1 Récapitulation'!$E$10 &amp; "-SHR","@")</f>
        <v>-SHR</v>
      </c>
      <c r="B139" s="228" t="str">
        <f ca="1">TEXT(IF(G139&lt;&gt; 0,OFFSET(INDIRECT(rtI.Anker2b),20,0),""),"@")</f>
        <v/>
      </c>
      <c r="C139" s="227" t="s">
        <v>9</v>
      </c>
      <c r="D139" s="227" t="s">
        <v>43</v>
      </c>
      <c r="E139" s="227" t="s">
        <v>37</v>
      </c>
      <c r="F139" s="227" t="s">
        <v>44</v>
      </c>
      <c r="G139" s="229">
        <f ca="1">OFFSET(INDIRECT(rtI.Anker2b),20,5)</f>
        <v>0</v>
      </c>
      <c r="H139" s="227" t="str">
        <f t="shared" ca="1" si="10"/>
        <v/>
      </c>
      <c r="I139" s="227" t="str">
        <f t="shared" ca="1" si="14"/>
        <v/>
      </c>
      <c r="J139" s="227" t="str">
        <f t="shared" ca="1" si="11"/>
        <v/>
      </c>
      <c r="K139" s="230" t="str">
        <f t="shared" ca="1" si="12"/>
        <v/>
      </c>
      <c r="L139" s="231" t="str">
        <f t="shared" ca="1" si="13"/>
        <v/>
      </c>
    </row>
    <row r="140" spans="1:12" x14ac:dyDescent="0.25">
      <c r="A140" s="227" t="str">
        <f>TEXT('1 Récapitulation'!$E$10 &amp; "-SHR","@")</f>
        <v>-SHR</v>
      </c>
      <c r="B140" s="228" t="str">
        <f ca="1">TEXT(IF(G140&lt;&gt; 0,OFFSET(INDIRECT(rtI.Anker2b),21,0),""),"@")</f>
        <v/>
      </c>
      <c r="C140" s="227" t="s">
        <v>9</v>
      </c>
      <c r="D140" s="227" t="s">
        <v>43</v>
      </c>
      <c r="E140" s="227" t="s">
        <v>37</v>
      </c>
      <c r="F140" s="227" t="s">
        <v>44</v>
      </c>
      <c r="G140" s="229">
        <f ca="1">OFFSET(INDIRECT(rtI.Anker2b),21,5)</f>
        <v>0</v>
      </c>
      <c r="H140" s="227" t="str">
        <f t="shared" ca="1" si="10"/>
        <v/>
      </c>
      <c r="I140" s="227" t="str">
        <f t="shared" ca="1" si="14"/>
        <v/>
      </c>
      <c r="J140" s="227" t="str">
        <f t="shared" ca="1" si="11"/>
        <v/>
      </c>
      <c r="K140" s="230" t="str">
        <f t="shared" ca="1" si="12"/>
        <v/>
      </c>
      <c r="L140" s="231" t="str">
        <f t="shared" ca="1" si="13"/>
        <v/>
      </c>
    </row>
    <row r="141" spans="1:12" x14ac:dyDescent="0.25">
      <c r="A141" s="227" t="str">
        <f>TEXT('1 Récapitulation'!$E$10 &amp; "-SHR","@")</f>
        <v>-SHR</v>
      </c>
      <c r="B141" s="228" t="str">
        <f ca="1">TEXT(IF(G141&lt;&gt; 0,OFFSET(INDIRECT(rtI.Anker2b),22,0),""),"@")</f>
        <v/>
      </c>
      <c r="C141" s="227" t="s">
        <v>9</v>
      </c>
      <c r="D141" s="227" t="s">
        <v>43</v>
      </c>
      <c r="E141" s="227" t="s">
        <v>37</v>
      </c>
      <c r="F141" s="227" t="s">
        <v>44</v>
      </c>
      <c r="G141" s="229">
        <f ca="1">OFFSET(INDIRECT(rtI.Anker2b),22,5)</f>
        <v>0</v>
      </c>
      <c r="H141" s="227" t="str">
        <f t="shared" ca="1" si="10"/>
        <v/>
      </c>
      <c r="I141" s="227" t="str">
        <f t="shared" ca="1" si="14"/>
        <v/>
      </c>
      <c r="J141" s="227" t="str">
        <f t="shared" ca="1" si="11"/>
        <v/>
      </c>
      <c r="K141" s="230" t="str">
        <f t="shared" ca="1" si="12"/>
        <v/>
      </c>
      <c r="L141" s="231" t="str">
        <f t="shared" ca="1" si="13"/>
        <v/>
      </c>
    </row>
    <row r="142" spans="1:12" x14ac:dyDescent="0.25">
      <c r="A142" s="227" t="str">
        <f>TEXT('1 Récapitulation'!$E$10 &amp; "-SHR","@")</f>
        <v>-SHR</v>
      </c>
      <c r="B142" s="228" t="str">
        <f ca="1">TEXT(IF(G142&lt;&gt; 0,OFFSET(INDIRECT(rtI.Anker2b),23,0),""),"@")</f>
        <v/>
      </c>
      <c r="C142" s="227" t="s">
        <v>9</v>
      </c>
      <c r="D142" s="227" t="s">
        <v>43</v>
      </c>
      <c r="E142" s="227" t="s">
        <v>37</v>
      </c>
      <c r="F142" s="227" t="s">
        <v>44</v>
      </c>
      <c r="G142" s="229">
        <f ca="1">OFFSET(INDIRECT(rtI.Anker2b),23,5)</f>
        <v>0</v>
      </c>
      <c r="H142" s="227" t="str">
        <f t="shared" ca="1" si="10"/>
        <v/>
      </c>
      <c r="I142" s="227" t="str">
        <f t="shared" ca="1" si="14"/>
        <v/>
      </c>
      <c r="J142" s="227" t="str">
        <f t="shared" ca="1" si="11"/>
        <v/>
      </c>
      <c r="K142" s="230" t="str">
        <f t="shared" ca="1" si="12"/>
        <v/>
      </c>
      <c r="L142" s="231" t="str">
        <f t="shared" ca="1" si="13"/>
        <v/>
      </c>
    </row>
    <row r="143" spans="1:12" x14ac:dyDescent="0.25">
      <c r="A143" s="227" t="str">
        <f>TEXT('1 Récapitulation'!$E$10 &amp; "-SHR","@")</f>
        <v>-SHR</v>
      </c>
      <c r="B143" s="228" t="str">
        <f ca="1">TEXT(IF(G143&lt;&gt; 0,OFFSET(INDIRECT(rtI.Anker2b),24,0),""),"@")</f>
        <v/>
      </c>
      <c r="C143" s="227" t="s">
        <v>9</v>
      </c>
      <c r="D143" s="227" t="s">
        <v>43</v>
      </c>
      <c r="E143" s="227" t="s">
        <v>37</v>
      </c>
      <c r="F143" s="227" t="s">
        <v>44</v>
      </c>
      <c r="G143" s="229">
        <f ca="1">OFFSET(INDIRECT(rtI.Anker2b),24,5)</f>
        <v>0</v>
      </c>
      <c r="H143" s="227" t="str">
        <f t="shared" ca="1" si="10"/>
        <v/>
      </c>
      <c r="I143" s="227" t="str">
        <f t="shared" ca="1" si="14"/>
        <v/>
      </c>
      <c r="J143" s="227" t="str">
        <f t="shared" ca="1" si="11"/>
        <v/>
      </c>
      <c r="K143" s="230" t="str">
        <f t="shared" ca="1" si="12"/>
        <v/>
      </c>
      <c r="L143" s="231" t="str">
        <f t="shared" ca="1" si="13"/>
        <v/>
      </c>
    </row>
    <row r="144" spans="1:12" x14ac:dyDescent="0.25">
      <c r="A144" s="227" t="str">
        <f>TEXT('1 Récapitulation'!$E$10 &amp; "-SHR","@")</f>
        <v>-SHR</v>
      </c>
      <c r="B144" s="228" t="str">
        <f ca="1">TEXT(IF(G144&lt;&gt; 0,OFFSET(INDIRECT(rtI.Anker2b),25,0),""),"@")</f>
        <v/>
      </c>
      <c r="C144" s="227" t="s">
        <v>9</v>
      </c>
      <c r="D144" s="227" t="s">
        <v>43</v>
      </c>
      <c r="E144" s="227" t="s">
        <v>37</v>
      </c>
      <c r="F144" s="227" t="s">
        <v>44</v>
      </c>
      <c r="G144" s="229">
        <f ca="1">OFFSET(INDIRECT(rtI.Anker2b),25,5)</f>
        <v>0</v>
      </c>
      <c r="H144" s="227" t="str">
        <f t="shared" ca="1" si="10"/>
        <v/>
      </c>
      <c r="I144" s="227" t="str">
        <f t="shared" ca="1" si="14"/>
        <v/>
      </c>
      <c r="J144" s="227" t="str">
        <f t="shared" ca="1" si="11"/>
        <v/>
      </c>
      <c r="K144" s="230" t="str">
        <f t="shared" ca="1" si="12"/>
        <v/>
      </c>
      <c r="L144" s="231" t="str">
        <f t="shared" ca="1" si="13"/>
        <v/>
      </c>
    </row>
    <row r="145" spans="1:12" x14ac:dyDescent="0.25">
      <c r="A145" s="227" t="str">
        <f>TEXT('1 Récapitulation'!$E$10 &amp; "-SHR","@")</f>
        <v>-SHR</v>
      </c>
      <c r="B145" s="228" t="str">
        <f ca="1">TEXT(IF(G145&lt;&gt; 0,OFFSET(INDIRECT(rtI.Anker2b),26,0),""),"@")</f>
        <v/>
      </c>
      <c r="C145" s="227" t="s">
        <v>9</v>
      </c>
      <c r="D145" s="227" t="s">
        <v>43</v>
      </c>
      <c r="E145" s="227" t="s">
        <v>37</v>
      </c>
      <c r="F145" s="227" t="s">
        <v>44</v>
      </c>
      <c r="G145" s="229">
        <f ca="1">OFFSET(INDIRECT(rtI.Anker2b),26,5)</f>
        <v>0</v>
      </c>
      <c r="H145" s="227" t="str">
        <f t="shared" ca="1" si="10"/>
        <v/>
      </c>
      <c r="I145" s="227" t="str">
        <f t="shared" ca="1" si="14"/>
        <v/>
      </c>
      <c r="J145" s="227" t="str">
        <f t="shared" ca="1" si="11"/>
        <v/>
      </c>
      <c r="K145" s="230" t="str">
        <f t="shared" ca="1" si="12"/>
        <v/>
      </c>
      <c r="L145" s="231" t="str">
        <f t="shared" ca="1" si="13"/>
        <v/>
      </c>
    </row>
    <row r="146" spans="1:12" x14ac:dyDescent="0.25">
      <c r="A146" s="227" t="str">
        <f>TEXT('1 Récapitulation'!$E$10 &amp; "-SHR","@")</f>
        <v>-SHR</v>
      </c>
      <c r="B146" s="228" t="str">
        <f ca="1">TEXT(IF(G146&lt;&gt; 0,OFFSET(INDIRECT(rtI.Anker2b),27,0),""),"@")</f>
        <v/>
      </c>
      <c r="C146" s="227" t="s">
        <v>9</v>
      </c>
      <c r="D146" s="227" t="s">
        <v>43</v>
      </c>
      <c r="E146" s="227" t="s">
        <v>37</v>
      </c>
      <c r="F146" s="227" t="s">
        <v>44</v>
      </c>
      <c r="G146" s="229">
        <f ca="1">OFFSET(INDIRECT(rtI.Anker2b),27,5)</f>
        <v>0</v>
      </c>
      <c r="H146" s="227" t="str">
        <f t="shared" ca="1" si="10"/>
        <v/>
      </c>
      <c r="I146" s="227" t="str">
        <f t="shared" ca="1" si="14"/>
        <v/>
      </c>
      <c r="J146" s="227" t="str">
        <f t="shared" ca="1" si="11"/>
        <v/>
      </c>
      <c r="K146" s="230" t="str">
        <f t="shared" ca="1" si="12"/>
        <v/>
      </c>
      <c r="L146" s="231" t="str">
        <f t="shared" ca="1" si="13"/>
        <v/>
      </c>
    </row>
    <row r="147" spans="1:12" x14ac:dyDescent="0.25">
      <c r="A147" s="227" t="str">
        <f>TEXT('1 Récapitulation'!$E$10 &amp; "-SHR","@")</f>
        <v>-SHR</v>
      </c>
      <c r="B147" s="228" t="str">
        <f ca="1">TEXT(IF(G147&lt;&gt; 0,OFFSET(INDIRECT(rtI.Anker2b),28,0),""),"@")</f>
        <v/>
      </c>
      <c r="C147" s="227" t="s">
        <v>9</v>
      </c>
      <c r="D147" s="227" t="s">
        <v>43</v>
      </c>
      <c r="E147" s="227" t="s">
        <v>37</v>
      </c>
      <c r="F147" s="227" t="s">
        <v>44</v>
      </c>
      <c r="G147" s="229">
        <f ca="1">OFFSET(INDIRECT(rtI.Anker2b),28,5)</f>
        <v>0</v>
      </c>
      <c r="H147" s="227" t="str">
        <f t="shared" ca="1" si="10"/>
        <v/>
      </c>
      <c r="I147" s="227" t="str">
        <f t="shared" ca="1" si="14"/>
        <v/>
      </c>
      <c r="J147" s="227" t="str">
        <f t="shared" ca="1" si="11"/>
        <v/>
      </c>
      <c r="K147" s="230" t="str">
        <f t="shared" ca="1" si="12"/>
        <v/>
      </c>
      <c r="L147" s="231" t="str">
        <f t="shared" ca="1" si="13"/>
        <v/>
      </c>
    </row>
    <row r="148" spans="1:12" x14ac:dyDescent="0.25">
      <c r="A148" s="227" t="str">
        <f>TEXT('1 Récapitulation'!$E$10 &amp; "-SHR","@")</f>
        <v>-SHR</v>
      </c>
      <c r="B148" s="228" t="str">
        <f ca="1">TEXT(IF(G148&lt;&gt; 0,OFFSET(INDIRECT(rtI.Anker2b),29,0),""),"@")</f>
        <v/>
      </c>
      <c r="C148" s="227" t="s">
        <v>9</v>
      </c>
      <c r="D148" s="227" t="s">
        <v>43</v>
      </c>
      <c r="E148" s="227" t="s">
        <v>37</v>
      </c>
      <c r="F148" s="227" t="s">
        <v>44</v>
      </c>
      <c r="G148" s="229">
        <f ca="1">OFFSET(INDIRECT(rtI.Anker2b),29,5)</f>
        <v>0</v>
      </c>
      <c r="H148" s="227" t="str">
        <f t="shared" ca="1" si="10"/>
        <v/>
      </c>
      <c r="I148" s="227" t="str">
        <f t="shared" ca="1" si="14"/>
        <v/>
      </c>
      <c r="J148" s="227" t="str">
        <f t="shared" ca="1" si="11"/>
        <v/>
      </c>
      <c r="K148" s="230" t="str">
        <f t="shared" ca="1" si="12"/>
        <v/>
      </c>
      <c r="L148" s="231" t="str">
        <f t="shared" ca="1" si="13"/>
        <v/>
      </c>
    </row>
    <row r="149" spans="1:12" x14ac:dyDescent="0.25">
      <c r="A149" s="227" t="str">
        <f>TEXT('1 Récapitulation'!$E$10 &amp; "-SHR","@")</f>
        <v>-SHR</v>
      </c>
      <c r="B149" s="228" t="str">
        <f ca="1">TEXT(IF(G149&lt;&gt; 0,OFFSET(INDIRECT(rtI.Anker2b),30,0),""),"@")</f>
        <v/>
      </c>
      <c r="C149" s="227" t="s">
        <v>9</v>
      </c>
      <c r="D149" s="227" t="s">
        <v>43</v>
      </c>
      <c r="E149" s="227" t="s">
        <v>37</v>
      </c>
      <c r="F149" s="227" t="s">
        <v>44</v>
      </c>
      <c r="G149" s="229">
        <f ca="1">OFFSET(INDIRECT(rtI.Anker2b),30,5)</f>
        <v>0</v>
      </c>
      <c r="H149" s="227" t="str">
        <f t="shared" ca="1" si="10"/>
        <v/>
      </c>
      <c r="I149" s="227" t="str">
        <f t="shared" ca="1" si="14"/>
        <v/>
      </c>
      <c r="J149" s="227" t="str">
        <f t="shared" ca="1" si="11"/>
        <v/>
      </c>
      <c r="K149" s="230" t="str">
        <f t="shared" ca="1" si="12"/>
        <v/>
      </c>
      <c r="L149" s="231" t="str">
        <f t="shared" ca="1" si="13"/>
        <v/>
      </c>
    </row>
    <row r="150" spans="1:12" x14ac:dyDescent="0.25">
      <c r="A150" s="227" t="str">
        <f>TEXT('1 Récapitulation'!$E$10 &amp; "-SHR","@")</f>
        <v>-SHR</v>
      </c>
      <c r="B150" s="228" t="str">
        <f ca="1">TEXT(IF(G150&lt;&gt; 0,OFFSET(INDIRECT(rtI.Anker2b),31,0),""),"@")</f>
        <v/>
      </c>
      <c r="C150" s="227" t="s">
        <v>9</v>
      </c>
      <c r="D150" s="227" t="s">
        <v>43</v>
      </c>
      <c r="E150" s="227" t="s">
        <v>37</v>
      </c>
      <c r="F150" s="227" t="s">
        <v>44</v>
      </c>
      <c r="G150" s="229">
        <f ca="1">OFFSET(INDIRECT(rtI.Anker2b),31,5)</f>
        <v>0</v>
      </c>
      <c r="H150" s="227" t="str">
        <f t="shared" ca="1" si="10"/>
        <v/>
      </c>
      <c r="I150" s="227" t="str">
        <f t="shared" ca="1" si="14"/>
        <v/>
      </c>
      <c r="J150" s="227" t="str">
        <f t="shared" ca="1" si="11"/>
        <v/>
      </c>
      <c r="K150" s="230" t="str">
        <f t="shared" ca="1" si="12"/>
        <v/>
      </c>
      <c r="L150" s="231" t="str">
        <f t="shared" ca="1" si="13"/>
        <v/>
      </c>
    </row>
    <row r="151" spans="1:12" x14ac:dyDescent="0.25">
      <c r="A151" s="227" t="str">
        <f>TEXT('1 Récapitulation'!$E$10 &amp; "-SHR","@")</f>
        <v>-SHR</v>
      </c>
      <c r="B151" s="228" t="str">
        <f ca="1">TEXT(IF(G151&lt;&gt; 0,OFFSET(INDIRECT(rtI.Anker2b),32,0),""),"@")</f>
        <v/>
      </c>
      <c r="C151" s="227" t="s">
        <v>9</v>
      </c>
      <c r="D151" s="227" t="s">
        <v>43</v>
      </c>
      <c r="E151" s="227" t="s">
        <v>37</v>
      </c>
      <c r="F151" s="227" t="s">
        <v>44</v>
      </c>
      <c r="G151" s="229">
        <f ca="1">OFFSET(INDIRECT(rtI.Anker2b),32,5)</f>
        <v>0</v>
      </c>
      <c r="H151" s="227" t="str">
        <f t="shared" ca="1" si="10"/>
        <v/>
      </c>
      <c r="I151" s="227" t="str">
        <f t="shared" ca="1" si="14"/>
        <v/>
      </c>
      <c r="J151" s="227" t="str">
        <f t="shared" ca="1" si="11"/>
        <v/>
      </c>
      <c r="K151" s="230" t="str">
        <f t="shared" ca="1" si="12"/>
        <v/>
      </c>
      <c r="L151" s="231" t="str">
        <f t="shared" ca="1" si="13"/>
        <v/>
      </c>
    </row>
    <row r="152" spans="1:12" x14ac:dyDescent="0.25">
      <c r="A152" s="227" t="str">
        <f>TEXT('1 Récapitulation'!$E$10 &amp; "-SHR","@")</f>
        <v>-SHR</v>
      </c>
      <c r="B152" s="228" t="str">
        <f ca="1">TEXT(IF(G152&lt;&gt; 0,OFFSET(INDIRECT(rtI.Anker2b),33,0),""),"@")</f>
        <v/>
      </c>
      <c r="C152" s="227" t="s">
        <v>9</v>
      </c>
      <c r="D152" s="227" t="s">
        <v>43</v>
      </c>
      <c r="E152" s="227" t="s">
        <v>37</v>
      </c>
      <c r="F152" s="227" t="s">
        <v>44</v>
      </c>
      <c r="G152" s="229">
        <f ca="1">OFFSET(INDIRECT(rtI.Anker2b),33,5)</f>
        <v>0</v>
      </c>
      <c r="H152" s="227" t="str">
        <f t="shared" ca="1" si="10"/>
        <v/>
      </c>
      <c r="I152" s="227" t="str">
        <f t="shared" ca="1" si="14"/>
        <v/>
      </c>
      <c r="J152" s="227" t="str">
        <f t="shared" ca="1" si="11"/>
        <v/>
      </c>
      <c r="K152" s="230" t="str">
        <f t="shared" ca="1" si="12"/>
        <v/>
      </c>
      <c r="L152" s="231" t="str">
        <f t="shared" ca="1" si="13"/>
        <v/>
      </c>
    </row>
    <row r="153" spans="1:12" x14ac:dyDescent="0.25">
      <c r="A153" s="227" t="str">
        <f>TEXT('1 Récapitulation'!$E$10 &amp; "-SHR","@")</f>
        <v>-SHR</v>
      </c>
      <c r="B153" s="228" t="str">
        <f ca="1">TEXT(IF(G153&lt;&gt; 0,OFFSET(INDIRECT(rtI.Anker2b),34,0),""),"@")</f>
        <v/>
      </c>
      <c r="C153" s="227" t="s">
        <v>9</v>
      </c>
      <c r="D153" s="227" t="s">
        <v>43</v>
      </c>
      <c r="E153" s="227" t="s">
        <v>37</v>
      </c>
      <c r="F153" s="227" t="s">
        <v>44</v>
      </c>
      <c r="G153" s="229">
        <f ca="1">OFFSET(INDIRECT(rtI.Anker2b),34,5)</f>
        <v>0</v>
      </c>
      <c r="H153" s="227" t="str">
        <f t="shared" ca="1" si="10"/>
        <v/>
      </c>
      <c r="I153" s="227" t="str">
        <f t="shared" ca="1" si="14"/>
        <v/>
      </c>
      <c r="J153" s="227" t="str">
        <f t="shared" ca="1" si="11"/>
        <v/>
      </c>
      <c r="K153" s="230" t="str">
        <f t="shared" ca="1" si="12"/>
        <v/>
      </c>
      <c r="L153" s="231" t="str">
        <f t="shared" ca="1" si="13"/>
        <v/>
      </c>
    </row>
    <row r="154" spans="1:12" x14ac:dyDescent="0.25">
      <c r="A154" s="227" t="str">
        <f>TEXT('1 Récapitulation'!$E$10 &amp; "-SHR","@")</f>
        <v>-SHR</v>
      </c>
      <c r="B154" s="228" t="str">
        <f ca="1">TEXT(IF(G154&lt;&gt; 0,OFFSET(INDIRECT(rtI.Anker2b),35,0),""),"@")</f>
        <v/>
      </c>
      <c r="C154" s="227" t="s">
        <v>9</v>
      </c>
      <c r="D154" s="227" t="s">
        <v>43</v>
      </c>
      <c r="E154" s="227" t="s">
        <v>37</v>
      </c>
      <c r="F154" s="227" t="s">
        <v>44</v>
      </c>
      <c r="G154" s="229">
        <f ca="1">OFFSET(INDIRECT(rtI.Anker2b),35,5)</f>
        <v>0</v>
      </c>
      <c r="H154" s="227" t="str">
        <f t="shared" ca="1" si="10"/>
        <v/>
      </c>
      <c r="I154" s="227" t="str">
        <f t="shared" ca="1" si="14"/>
        <v/>
      </c>
      <c r="J154" s="227" t="str">
        <f t="shared" ca="1" si="11"/>
        <v/>
      </c>
      <c r="K154" s="230" t="str">
        <f t="shared" ca="1" si="12"/>
        <v/>
      </c>
      <c r="L154" s="231" t="str">
        <f t="shared" ca="1" si="13"/>
        <v/>
      </c>
    </row>
    <row r="155" spans="1:12" x14ac:dyDescent="0.25">
      <c r="A155" s="227" t="str">
        <f>TEXT('1 Récapitulation'!$E$10 &amp; "-SHR","@")</f>
        <v>-SHR</v>
      </c>
      <c r="B155" s="228" t="str">
        <f ca="1">TEXT(IF(G155&lt;&gt; 0,OFFSET(INDIRECT(rtI.Anker2b),36,0),""),"@")</f>
        <v/>
      </c>
      <c r="C155" s="227" t="s">
        <v>9</v>
      </c>
      <c r="D155" s="227" t="s">
        <v>43</v>
      </c>
      <c r="E155" s="227" t="s">
        <v>37</v>
      </c>
      <c r="F155" s="227" t="s">
        <v>44</v>
      </c>
      <c r="G155" s="229">
        <f ca="1">OFFSET(INDIRECT(rtI.Anker2b),36,5)</f>
        <v>0</v>
      </c>
      <c r="H155" s="227" t="str">
        <f t="shared" ca="1" si="10"/>
        <v/>
      </c>
      <c r="I155" s="227" t="str">
        <f t="shared" ca="1" si="14"/>
        <v/>
      </c>
      <c r="J155" s="227" t="str">
        <f t="shared" ca="1" si="11"/>
        <v/>
      </c>
      <c r="K155" s="230" t="str">
        <f t="shared" ca="1" si="12"/>
        <v/>
      </c>
      <c r="L155" s="231" t="str">
        <f t="shared" ca="1" si="13"/>
        <v/>
      </c>
    </row>
    <row r="156" spans="1:12" x14ac:dyDescent="0.25">
      <c r="A156" s="227" t="str">
        <f>TEXT('1 Récapitulation'!$E$10 &amp; "-SHR","@")</f>
        <v>-SHR</v>
      </c>
      <c r="B156" s="228" t="str">
        <f ca="1">TEXT(IF(G156&lt;&gt; 0,OFFSET(INDIRECT(rtI.Anker2b),37,0),""),"@")</f>
        <v/>
      </c>
      <c r="C156" s="227" t="s">
        <v>9</v>
      </c>
      <c r="D156" s="227" t="s">
        <v>43</v>
      </c>
      <c r="E156" s="227" t="s">
        <v>37</v>
      </c>
      <c r="F156" s="227" t="s">
        <v>44</v>
      </c>
      <c r="G156" s="229">
        <f ca="1">OFFSET(INDIRECT(rtI.Anker2b),37,5)</f>
        <v>0</v>
      </c>
      <c r="H156" s="227" t="str">
        <f t="shared" ca="1" si="10"/>
        <v/>
      </c>
      <c r="I156" s="227" t="str">
        <f t="shared" ca="1" si="14"/>
        <v/>
      </c>
      <c r="J156" s="227" t="str">
        <f t="shared" ca="1" si="11"/>
        <v/>
      </c>
      <c r="K156" s="230" t="str">
        <f t="shared" ca="1" si="12"/>
        <v/>
      </c>
      <c r="L156" s="231" t="str">
        <f t="shared" ca="1" si="13"/>
        <v/>
      </c>
    </row>
    <row r="157" spans="1:12" x14ac:dyDescent="0.25">
      <c r="A157" s="227" t="str">
        <f>TEXT('1 Récapitulation'!$E$10 &amp; "-SHR","@")</f>
        <v>-SHR</v>
      </c>
      <c r="B157" s="228" t="str">
        <f ca="1">TEXT(IF(G157&lt;&gt; 0,OFFSET(INDIRECT(rtI.Anker2b),38,0),""),"@")</f>
        <v/>
      </c>
      <c r="C157" s="227" t="s">
        <v>9</v>
      </c>
      <c r="D157" s="227" t="s">
        <v>43</v>
      </c>
      <c r="E157" s="227" t="s">
        <v>37</v>
      </c>
      <c r="F157" s="227" t="s">
        <v>44</v>
      </c>
      <c r="G157" s="229">
        <f ca="1">OFFSET(INDIRECT(rtI.Anker2b),38,5)</f>
        <v>0</v>
      </c>
      <c r="H157" s="227" t="str">
        <f t="shared" ca="1" si="10"/>
        <v/>
      </c>
      <c r="I157" s="227" t="str">
        <f t="shared" ca="1" si="14"/>
        <v/>
      </c>
      <c r="J157" s="227" t="str">
        <f t="shared" ca="1" si="11"/>
        <v/>
      </c>
      <c r="K157" s="230" t="str">
        <f t="shared" ca="1" si="12"/>
        <v/>
      </c>
      <c r="L157" s="231" t="str">
        <f t="shared" ca="1" si="13"/>
        <v/>
      </c>
    </row>
    <row r="158" spans="1:12" x14ac:dyDescent="0.25">
      <c r="A158" s="227" t="str">
        <f>TEXT('1 Récapitulation'!$E$10 &amp; "-SHR","@")</f>
        <v>-SHR</v>
      </c>
      <c r="B158" s="228" t="str">
        <f ca="1">TEXT(IF(G158&lt;&gt; 0,OFFSET(INDIRECT(rtI.Anker2b),0,0),""),"@")</f>
        <v/>
      </c>
      <c r="C158" s="227" t="s">
        <v>9</v>
      </c>
      <c r="D158" s="227" t="s">
        <v>45</v>
      </c>
      <c r="E158" s="227" t="s">
        <v>37</v>
      </c>
      <c r="F158" s="227" t="s">
        <v>46</v>
      </c>
      <c r="G158" s="229">
        <f ca="1">OFFSET(INDIRECT(rtI.Anker2b),0,6)</f>
        <v>0</v>
      </c>
      <c r="H158" s="227" t="str">
        <f t="shared" ca="1" si="10"/>
        <v/>
      </c>
      <c r="I158" s="227" t="str">
        <f t="shared" ca="1" si="14"/>
        <v/>
      </c>
      <c r="J158" s="227" t="str">
        <f t="shared" ca="1" si="11"/>
        <v/>
      </c>
      <c r="K158" s="230" t="str">
        <f t="shared" ca="1" si="12"/>
        <v/>
      </c>
      <c r="L158" s="231" t="str">
        <f t="shared" ca="1" si="13"/>
        <v/>
      </c>
    </row>
    <row r="159" spans="1:12" x14ac:dyDescent="0.25">
      <c r="A159" s="227" t="str">
        <f>TEXT('1 Récapitulation'!$E$10 &amp; "-SHR","@")</f>
        <v>-SHR</v>
      </c>
      <c r="B159" s="228" t="str">
        <f ca="1">TEXT(IF(G159&lt;&gt; 0,OFFSET(INDIRECT(rtI.Anker2b),1,0),""),"@")</f>
        <v/>
      </c>
      <c r="C159" s="227" t="s">
        <v>9</v>
      </c>
      <c r="D159" s="227" t="s">
        <v>45</v>
      </c>
      <c r="E159" s="227" t="s">
        <v>37</v>
      </c>
      <c r="F159" s="227" t="s">
        <v>46</v>
      </c>
      <c r="G159" s="229">
        <f ca="1">OFFSET(INDIRECT(rtI.Anker2b),1,6)</f>
        <v>0</v>
      </c>
      <c r="H159" s="227" t="str">
        <f t="shared" ca="1" si="10"/>
        <v/>
      </c>
      <c r="I159" s="227" t="str">
        <f t="shared" ca="1" si="14"/>
        <v/>
      </c>
      <c r="J159" s="227" t="str">
        <f t="shared" ca="1" si="11"/>
        <v/>
      </c>
      <c r="K159" s="230" t="str">
        <f t="shared" ca="1" si="12"/>
        <v/>
      </c>
      <c r="L159" s="231" t="str">
        <f t="shared" ca="1" si="13"/>
        <v/>
      </c>
    </row>
    <row r="160" spans="1:12" x14ac:dyDescent="0.25">
      <c r="A160" s="227" t="str">
        <f>TEXT('1 Récapitulation'!$E$10 &amp; "-SHR","@")</f>
        <v>-SHR</v>
      </c>
      <c r="B160" s="228" t="str">
        <f ca="1">TEXT(IF(G160&lt;&gt; 0,OFFSET(INDIRECT(rtI.Anker2b),2,0),""),"@")</f>
        <v/>
      </c>
      <c r="C160" s="227" t="s">
        <v>9</v>
      </c>
      <c r="D160" s="227" t="s">
        <v>45</v>
      </c>
      <c r="E160" s="227" t="s">
        <v>37</v>
      </c>
      <c r="F160" s="227" t="s">
        <v>46</v>
      </c>
      <c r="G160" s="229">
        <f ca="1">OFFSET(INDIRECT(rtI.Anker2b),2,6)</f>
        <v>0</v>
      </c>
      <c r="H160" s="227" t="str">
        <f t="shared" ca="1" si="10"/>
        <v/>
      </c>
      <c r="I160" s="227" t="str">
        <f t="shared" ca="1" si="14"/>
        <v/>
      </c>
      <c r="J160" s="227" t="str">
        <f t="shared" ca="1" si="11"/>
        <v/>
      </c>
      <c r="K160" s="230" t="str">
        <f t="shared" ca="1" si="12"/>
        <v/>
      </c>
      <c r="L160" s="231" t="str">
        <f t="shared" ca="1" si="13"/>
        <v/>
      </c>
    </row>
    <row r="161" spans="1:12" x14ac:dyDescent="0.25">
      <c r="A161" s="227" t="str">
        <f>TEXT('1 Récapitulation'!$E$10 &amp; "-SHR","@")</f>
        <v>-SHR</v>
      </c>
      <c r="B161" s="228" t="str">
        <f ca="1">TEXT(IF(G161&lt;&gt; 0,OFFSET(INDIRECT(rtI.Anker2b),3,0),""),"@")</f>
        <v/>
      </c>
      <c r="C161" s="227" t="s">
        <v>9</v>
      </c>
      <c r="D161" s="227" t="s">
        <v>45</v>
      </c>
      <c r="E161" s="227" t="s">
        <v>37</v>
      </c>
      <c r="F161" s="227" t="s">
        <v>46</v>
      </c>
      <c r="G161" s="229">
        <f ca="1">OFFSET(INDIRECT(rtI.Anker2b),3,6)</f>
        <v>0</v>
      </c>
      <c r="H161" s="227" t="str">
        <f t="shared" ca="1" si="10"/>
        <v/>
      </c>
      <c r="I161" s="227" t="str">
        <f t="shared" ca="1" si="14"/>
        <v/>
      </c>
      <c r="J161" s="227" t="str">
        <f t="shared" ca="1" si="11"/>
        <v/>
      </c>
      <c r="K161" s="230" t="str">
        <f t="shared" ca="1" si="12"/>
        <v/>
      </c>
      <c r="L161" s="231" t="str">
        <f t="shared" ca="1" si="13"/>
        <v/>
      </c>
    </row>
    <row r="162" spans="1:12" x14ac:dyDescent="0.25">
      <c r="A162" s="227" t="str">
        <f>TEXT('1 Récapitulation'!$E$10 &amp; "-SHR","@")</f>
        <v>-SHR</v>
      </c>
      <c r="B162" s="228" t="str">
        <f ca="1">TEXT(IF(G162&lt;&gt; 0,OFFSET(INDIRECT(rtI.Anker2b),4,0),""),"@")</f>
        <v/>
      </c>
      <c r="C162" s="227" t="s">
        <v>9</v>
      </c>
      <c r="D162" s="227" t="s">
        <v>45</v>
      </c>
      <c r="E162" s="227" t="s">
        <v>37</v>
      </c>
      <c r="F162" s="227" t="s">
        <v>46</v>
      </c>
      <c r="G162" s="229">
        <f ca="1">OFFSET(INDIRECT(rtI.Anker2b),4,6)</f>
        <v>0</v>
      </c>
      <c r="H162" s="227" t="str">
        <f t="shared" ca="1" si="10"/>
        <v/>
      </c>
      <c r="I162" s="227" t="str">
        <f t="shared" ca="1" si="14"/>
        <v/>
      </c>
      <c r="J162" s="227" t="str">
        <f t="shared" ca="1" si="11"/>
        <v/>
      </c>
      <c r="K162" s="230" t="str">
        <f t="shared" ca="1" si="12"/>
        <v/>
      </c>
      <c r="L162" s="231" t="str">
        <f t="shared" ca="1" si="13"/>
        <v/>
      </c>
    </row>
    <row r="163" spans="1:12" x14ac:dyDescent="0.25">
      <c r="A163" s="227" t="str">
        <f>TEXT('1 Récapitulation'!$E$10 &amp; "-SHR","@")</f>
        <v>-SHR</v>
      </c>
      <c r="B163" s="228" t="str">
        <f ca="1">TEXT(IF(G163&lt;&gt; 0,OFFSET(INDIRECT(rtI.Anker2b),5,0),""),"@")</f>
        <v/>
      </c>
      <c r="C163" s="227" t="s">
        <v>9</v>
      </c>
      <c r="D163" s="227" t="s">
        <v>45</v>
      </c>
      <c r="E163" s="227" t="s">
        <v>37</v>
      </c>
      <c r="F163" s="227" t="s">
        <v>46</v>
      </c>
      <c r="G163" s="229">
        <f ca="1">OFFSET(INDIRECT(rtI.Anker2b),5,6)</f>
        <v>0</v>
      </c>
      <c r="H163" s="227" t="str">
        <f t="shared" ca="1" si="10"/>
        <v/>
      </c>
      <c r="I163" s="227" t="str">
        <f t="shared" ca="1" si="14"/>
        <v/>
      </c>
      <c r="J163" s="227" t="str">
        <f t="shared" ca="1" si="11"/>
        <v/>
      </c>
      <c r="K163" s="230" t="str">
        <f t="shared" ca="1" si="12"/>
        <v/>
      </c>
      <c r="L163" s="231" t="str">
        <f t="shared" ca="1" si="13"/>
        <v/>
      </c>
    </row>
    <row r="164" spans="1:12" x14ac:dyDescent="0.25">
      <c r="A164" s="227" t="str">
        <f>TEXT('1 Récapitulation'!$E$10 &amp; "-SHR","@")</f>
        <v>-SHR</v>
      </c>
      <c r="B164" s="228" t="str">
        <f ca="1">TEXT(IF(G164&lt;&gt; 0,OFFSET(INDIRECT(rtI.Anker2b),6,0),""),"@")</f>
        <v/>
      </c>
      <c r="C164" s="227" t="s">
        <v>9</v>
      </c>
      <c r="D164" s="227" t="s">
        <v>45</v>
      </c>
      <c r="E164" s="227" t="s">
        <v>37</v>
      </c>
      <c r="F164" s="227" t="s">
        <v>46</v>
      </c>
      <c r="G164" s="229">
        <f ca="1">OFFSET(INDIRECT(rtI.Anker2b),6,6)</f>
        <v>0</v>
      </c>
      <c r="H164" s="227" t="str">
        <f t="shared" ca="1" si="10"/>
        <v/>
      </c>
      <c r="I164" s="227" t="str">
        <f t="shared" ca="1" si="14"/>
        <v/>
      </c>
      <c r="J164" s="227" t="str">
        <f t="shared" ca="1" si="11"/>
        <v/>
      </c>
      <c r="K164" s="230" t="str">
        <f t="shared" ca="1" si="12"/>
        <v/>
      </c>
      <c r="L164" s="231" t="str">
        <f t="shared" ca="1" si="13"/>
        <v/>
      </c>
    </row>
    <row r="165" spans="1:12" x14ac:dyDescent="0.25">
      <c r="A165" s="227" t="str">
        <f>TEXT('1 Récapitulation'!$E$10 &amp; "-SHR","@")</f>
        <v>-SHR</v>
      </c>
      <c r="B165" s="228" t="str">
        <f ca="1">TEXT(IF(G165&lt;&gt; 0,OFFSET(INDIRECT(rtI.Anker2b),7,0),""),"@")</f>
        <v/>
      </c>
      <c r="C165" s="227" t="s">
        <v>9</v>
      </c>
      <c r="D165" s="227" t="s">
        <v>45</v>
      </c>
      <c r="E165" s="227" t="s">
        <v>37</v>
      </c>
      <c r="F165" s="227" t="s">
        <v>46</v>
      </c>
      <c r="G165" s="229">
        <f ca="1">OFFSET(INDIRECT(rtI.Anker2b),7,6)</f>
        <v>0</v>
      </c>
      <c r="H165" s="227" t="str">
        <f t="shared" ca="1" si="10"/>
        <v/>
      </c>
      <c r="I165" s="227" t="str">
        <f t="shared" ca="1" si="14"/>
        <v/>
      </c>
      <c r="J165" s="227" t="str">
        <f t="shared" ca="1" si="11"/>
        <v/>
      </c>
      <c r="K165" s="230" t="str">
        <f t="shared" ca="1" si="12"/>
        <v/>
      </c>
      <c r="L165" s="231" t="str">
        <f t="shared" ca="1" si="13"/>
        <v/>
      </c>
    </row>
    <row r="166" spans="1:12" x14ac:dyDescent="0.25">
      <c r="A166" s="227" t="str">
        <f>TEXT('1 Récapitulation'!$E$10 &amp; "-SHR","@")</f>
        <v>-SHR</v>
      </c>
      <c r="B166" s="228" t="str">
        <f ca="1">TEXT(IF(G166&lt;&gt; 0,OFFSET(INDIRECT(rtI.Anker2b),8,0),""),"@")</f>
        <v/>
      </c>
      <c r="C166" s="227" t="s">
        <v>9</v>
      </c>
      <c r="D166" s="227" t="s">
        <v>45</v>
      </c>
      <c r="E166" s="227" t="s">
        <v>37</v>
      </c>
      <c r="F166" s="227" t="s">
        <v>46</v>
      </c>
      <c r="G166" s="229">
        <f ca="1">OFFSET(INDIRECT(rtI.Anker2b),8,6)</f>
        <v>0</v>
      </c>
      <c r="H166" s="227" t="str">
        <f t="shared" ca="1" si="10"/>
        <v/>
      </c>
      <c r="I166" s="227" t="str">
        <f t="shared" ca="1" si="14"/>
        <v/>
      </c>
      <c r="J166" s="227" t="str">
        <f t="shared" ca="1" si="11"/>
        <v/>
      </c>
      <c r="K166" s="230" t="str">
        <f t="shared" ca="1" si="12"/>
        <v/>
      </c>
      <c r="L166" s="231" t="str">
        <f t="shared" ca="1" si="13"/>
        <v/>
      </c>
    </row>
    <row r="167" spans="1:12" x14ac:dyDescent="0.25">
      <c r="A167" s="227" t="str">
        <f>TEXT('1 Récapitulation'!$E$10 &amp; "-SHR","@")</f>
        <v>-SHR</v>
      </c>
      <c r="B167" s="228" t="str">
        <f ca="1">TEXT(IF(G167&lt;&gt; 0,OFFSET(INDIRECT(rtI.Anker2b),9,0),""),"@")</f>
        <v/>
      </c>
      <c r="C167" s="227" t="s">
        <v>9</v>
      </c>
      <c r="D167" s="227" t="s">
        <v>45</v>
      </c>
      <c r="E167" s="227" t="s">
        <v>37</v>
      </c>
      <c r="F167" s="227" t="s">
        <v>46</v>
      </c>
      <c r="G167" s="229">
        <f ca="1">OFFSET(INDIRECT(rtI.Anker2b),9,6)</f>
        <v>0</v>
      </c>
      <c r="H167" s="227" t="str">
        <f t="shared" ca="1" si="10"/>
        <v/>
      </c>
      <c r="I167" s="227" t="str">
        <f t="shared" ca="1" si="14"/>
        <v/>
      </c>
      <c r="J167" s="227" t="str">
        <f t="shared" ca="1" si="11"/>
        <v/>
      </c>
      <c r="K167" s="230" t="str">
        <f t="shared" ca="1" si="12"/>
        <v/>
      </c>
      <c r="L167" s="231" t="str">
        <f t="shared" ca="1" si="13"/>
        <v/>
      </c>
    </row>
    <row r="168" spans="1:12" x14ac:dyDescent="0.25">
      <c r="A168" s="227" t="str">
        <f>TEXT('1 Récapitulation'!$E$10 &amp; "-SHR","@")</f>
        <v>-SHR</v>
      </c>
      <c r="B168" s="228" t="str">
        <f ca="1">TEXT(IF(G168&lt;&gt; 0,OFFSET(INDIRECT(rtI.Anker2b),10,0),""),"@")</f>
        <v/>
      </c>
      <c r="C168" s="227" t="s">
        <v>9</v>
      </c>
      <c r="D168" s="227" t="s">
        <v>45</v>
      </c>
      <c r="E168" s="227" t="s">
        <v>37</v>
      </c>
      <c r="F168" s="227" t="s">
        <v>46</v>
      </c>
      <c r="G168" s="229">
        <f ca="1">OFFSET(INDIRECT(rtI.Anker2b),10,6)</f>
        <v>0</v>
      </c>
      <c r="H168" s="227" t="str">
        <f t="shared" ca="1" si="10"/>
        <v/>
      </c>
      <c r="I168" s="227" t="str">
        <f t="shared" ca="1" si="14"/>
        <v/>
      </c>
      <c r="J168" s="227" t="str">
        <f t="shared" ca="1" si="11"/>
        <v/>
      </c>
      <c r="K168" s="230" t="str">
        <f t="shared" ca="1" si="12"/>
        <v/>
      </c>
      <c r="L168" s="231" t="str">
        <f t="shared" ca="1" si="13"/>
        <v/>
      </c>
    </row>
    <row r="169" spans="1:12" x14ac:dyDescent="0.25">
      <c r="A169" s="227" t="str">
        <f>TEXT('1 Récapitulation'!$E$10 &amp; "-SHR","@")</f>
        <v>-SHR</v>
      </c>
      <c r="B169" s="228" t="str">
        <f ca="1">TEXT(IF(G169&lt;&gt; 0,OFFSET(INDIRECT(rtI.Anker2b),11,0),""),"@")</f>
        <v/>
      </c>
      <c r="C169" s="227" t="s">
        <v>9</v>
      </c>
      <c r="D169" s="227" t="s">
        <v>45</v>
      </c>
      <c r="E169" s="227" t="s">
        <v>37</v>
      </c>
      <c r="F169" s="227" t="s">
        <v>46</v>
      </c>
      <c r="G169" s="229">
        <f ca="1">OFFSET(INDIRECT(rtI.Anker2b),11,6)</f>
        <v>0</v>
      </c>
      <c r="H169" s="227" t="str">
        <f t="shared" ca="1" si="10"/>
        <v/>
      </c>
      <c r="I169" s="227" t="str">
        <f t="shared" ca="1" si="14"/>
        <v/>
      </c>
      <c r="J169" s="227" t="str">
        <f t="shared" ca="1" si="11"/>
        <v/>
      </c>
      <c r="K169" s="230" t="str">
        <f t="shared" ca="1" si="12"/>
        <v/>
      </c>
      <c r="L169" s="231" t="str">
        <f t="shared" ca="1" si="13"/>
        <v/>
      </c>
    </row>
    <row r="170" spans="1:12" x14ac:dyDescent="0.25">
      <c r="A170" s="227" t="str">
        <f>TEXT('1 Récapitulation'!$E$10 &amp; "-SHR","@")</f>
        <v>-SHR</v>
      </c>
      <c r="B170" s="228" t="str">
        <f ca="1">TEXT(IF(G170&lt;&gt; 0,OFFSET(INDIRECT(rtI.Anker2b),12,0),""),"@")</f>
        <v/>
      </c>
      <c r="C170" s="227" t="s">
        <v>9</v>
      </c>
      <c r="D170" s="227" t="s">
        <v>45</v>
      </c>
      <c r="E170" s="227" t="s">
        <v>37</v>
      </c>
      <c r="F170" s="227" t="s">
        <v>46</v>
      </c>
      <c r="G170" s="229">
        <f ca="1">OFFSET(INDIRECT(rtI.Anker2b),12,6)</f>
        <v>0</v>
      </c>
      <c r="H170" s="227" t="str">
        <f t="shared" ca="1" si="10"/>
        <v/>
      </c>
      <c r="I170" s="227" t="str">
        <f t="shared" ca="1" si="14"/>
        <v/>
      </c>
      <c r="J170" s="227" t="str">
        <f t="shared" ca="1" si="11"/>
        <v/>
      </c>
      <c r="K170" s="230" t="str">
        <f t="shared" ca="1" si="12"/>
        <v/>
      </c>
      <c r="L170" s="231" t="str">
        <f t="shared" ca="1" si="13"/>
        <v/>
      </c>
    </row>
    <row r="171" spans="1:12" x14ac:dyDescent="0.25">
      <c r="A171" s="227" t="str">
        <f>TEXT('1 Récapitulation'!$E$10 &amp; "-SHR","@")</f>
        <v>-SHR</v>
      </c>
      <c r="B171" s="228" t="str">
        <f ca="1">TEXT(IF(G171&lt;&gt; 0,OFFSET(INDIRECT(rtI.Anker2b),13,0),""),"@")</f>
        <v/>
      </c>
      <c r="C171" s="227" t="s">
        <v>9</v>
      </c>
      <c r="D171" s="227" t="s">
        <v>45</v>
      </c>
      <c r="E171" s="227" t="s">
        <v>37</v>
      </c>
      <c r="F171" s="227" t="s">
        <v>46</v>
      </c>
      <c r="G171" s="229">
        <f ca="1">OFFSET(INDIRECT(rtI.Anker2b),13,6)</f>
        <v>0</v>
      </c>
      <c r="H171" s="227" t="str">
        <f t="shared" ca="1" si="10"/>
        <v/>
      </c>
      <c r="I171" s="227" t="str">
        <f t="shared" ca="1" si="14"/>
        <v/>
      </c>
      <c r="J171" s="227" t="str">
        <f t="shared" ca="1" si="11"/>
        <v/>
      </c>
      <c r="K171" s="230" t="str">
        <f t="shared" ca="1" si="12"/>
        <v/>
      </c>
      <c r="L171" s="231" t="str">
        <f t="shared" ca="1" si="13"/>
        <v/>
      </c>
    </row>
    <row r="172" spans="1:12" x14ac:dyDescent="0.25">
      <c r="A172" s="227" t="str">
        <f>TEXT('1 Récapitulation'!$E$10 &amp; "-SHR","@")</f>
        <v>-SHR</v>
      </c>
      <c r="B172" s="228" t="str">
        <f ca="1">TEXT(IF(G172&lt;&gt; 0,OFFSET(INDIRECT(rtI.Anker2b),14,0),""),"@")</f>
        <v/>
      </c>
      <c r="C172" s="227" t="s">
        <v>9</v>
      </c>
      <c r="D172" s="227" t="s">
        <v>45</v>
      </c>
      <c r="E172" s="227" t="s">
        <v>37</v>
      </c>
      <c r="F172" s="227" t="s">
        <v>46</v>
      </c>
      <c r="G172" s="229">
        <f ca="1">OFFSET(INDIRECT(rtI.Anker2b),14,6)</f>
        <v>0</v>
      </c>
      <c r="H172" s="227" t="str">
        <f t="shared" ca="1" si="10"/>
        <v/>
      </c>
      <c r="I172" s="227" t="str">
        <f t="shared" ca="1" si="14"/>
        <v/>
      </c>
      <c r="J172" s="227" t="str">
        <f t="shared" ca="1" si="11"/>
        <v/>
      </c>
      <c r="K172" s="230" t="str">
        <f t="shared" ca="1" si="12"/>
        <v/>
      </c>
      <c r="L172" s="231" t="str">
        <f t="shared" ca="1" si="13"/>
        <v/>
      </c>
    </row>
    <row r="173" spans="1:12" x14ac:dyDescent="0.25">
      <c r="A173" s="227" t="str">
        <f>TEXT('1 Récapitulation'!$E$10 &amp; "-SHR","@")</f>
        <v>-SHR</v>
      </c>
      <c r="B173" s="228" t="str">
        <f ca="1">TEXT(IF(G173&lt;&gt; 0,OFFSET(INDIRECT(rtI.Anker2b),15,0),""),"@")</f>
        <v/>
      </c>
      <c r="C173" s="227" t="s">
        <v>9</v>
      </c>
      <c r="D173" s="227" t="s">
        <v>45</v>
      </c>
      <c r="E173" s="227" t="s">
        <v>37</v>
      </c>
      <c r="F173" s="227" t="s">
        <v>46</v>
      </c>
      <c r="G173" s="229">
        <f ca="1">OFFSET(INDIRECT(rtI.Anker2b),15,6)</f>
        <v>0</v>
      </c>
      <c r="H173" s="227" t="str">
        <f t="shared" ca="1" si="10"/>
        <v/>
      </c>
      <c r="I173" s="227" t="str">
        <f t="shared" ca="1" si="14"/>
        <v/>
      </c>
      <c r="J173" s="227" t="str">
        <f t="shared" ca="1" si="11"/>
        <v/>
      </c>
      <c r="K173" s="230" t="str">
        <f t="shared" ca="1" si="12"/>
        <v/>
      </c>
      <c r="L173" s="231" t="str">
        <f t="shared" ca="1" si="13"/>
        <v/>
      </c>
    </row>
    <row r="174" spans="1:12" x14ac:dyDescent="0.25">
      <c r="A174" s="227" t="str">
        <f>TEXT('1 Récapitulation'!$E$10 &amp; "-SHR","@")</f>
        <v>-SHR</v>
      </c>
      <c r="B174" s="228" t="str">
        <f ca="1">TEXT(IF(G174&lt;&gt; 0,OFFSET(INDIRECT(rtI.Anker2b),16,0),""),"@")</f>
        <v/>
      </c>
      <c r="C174" s="227" t="s">
        <v>9</v>
      </c>
      <c r="D174" s="227" t="s">
        <v>45</v>
      </c>
      <c r="E174" s="227" t="s">
        <v>37</v>
      </c>
      <c r="F174" s="227" t="s">
        <v>46</v>
      </c>
      <c r="G174" s="229">
        <f ca="1">OFFSET(INDIRECT(rtI.Anker2b),16,6)</f>
        <v>0</v>
      </c>
      <c r="H174" s="227" t="str">
        <f t="shared" ca="1" si="10"/>
        <v/>
      </c>
      <c r="I174" s="227" t="str">
        <f t="shared" ca="1" si="14"/>
        <v/>
      </c>
      <c r="J174" s="227" t="str">
        <f t="shared" ca="1" si="11"/>
        <v/>
      </c>
      <c r="K174" s="230" t="str">
        <f t="shared" ca="1" si="12"/>
        <v/>
      </c>
      <c r="L174" s="231" t="str">
        <f t="shared" ca="1" si="13"/>
        <v/>
      </c>
    </row>
    <row r="175" spans="1:12" x14ac:dyDescent="0.25">
      <c r="A175" s="227" t="str">
        <f>TEXT('1 Récapitulation'!$E$10 &amp; "-SHR","@")</f>
        <v>-SHR</v>
      </c>
      <c r="B175" s="228" t="str">
        <f ca="1">TEXT(IF(G175&lt;&gt; 0,OFFSET(INDIRECT(rtI.Anker2b),17,0),""),"@")</f>
        <v/>
      </c>
      <c r="C175" s="227" t="s">
        <v>9</v>
      </c>
      <c r="D175" s="227" t="s">
        <v>45</v>
      </c>
      <c r="E175" s="227" t="s">
        <v>37</v>
      </c>
      <c r="F175" s="227" t="s">
        <v>46</v>
      </c>
      <c r="G175" s="229">
        <f ca="1">OFFSET(INDIRECT(rtI.Anker2b),17,6)</f>
        <v>0</v>
      </c>
      <c r="H175" s="227" t="str">
        <f t="shared" ca="1" si="10"/>
        <v/>
      </c>
      <c r="I175" s="227" t="str">
        <f t="shared" ca="1" si="14"/>
        <v/>
      </c>
      <c r="J175" s="227" t="str">
        <f t="shared" ca="1" si="11"/>
        <v/>
      </c>
      <c r="K175" s="230" t="str">
        <f t="shared" ca="1" si="12"/>
        <v/>
      </c>
      <c r="L175" s="231" t="str">
        <f t="shared" ca="1" si="13"/>
        <v/>
      </c>
    </row>
    <row r="176" spans="1:12" x14ac:dyDescent="0.25">
      <c r="A176" s="227" t="str">
        <f>TEXT('1 Récapitulation'!$E$10 &amp; "-SHR","@")</f>
        <v>-SHR</v>
      </c>
      <c r="B176" s="228" t="str">
        <f ca="1">TEXT(IF(G176&lt;&gt; 0,OFFSET(INDIRECT(rtI.Anker2b),18,0),""),"@")</f>
        <v/>
      </c>
      <c r="C176" s="227" t="s">
        <v>9</v>
      </c>
      <c r="D176" s="227" t="s">
        <v>45</v>
      </c>
      <c r="E176" s="227" t="s">
        <v>37</v>
      </c>
      <c r="F176" s="227" t="s">
        <v>46</v>
      </c>
      <c r="G176" s="229">
        <f ca="1">OFFSET(INDIRECT(rtI.Anker2b),18,6)</f>
        <v>0</v>
      </c>
      <c r="H176" s="227" t="str">
        <f t="shared" ca="1" si="10"/>
        <v/>
      </c>
      <c r="I176" s="227" t="str">
        <f t="shared" ca="1" si="14"/>
        <v/>
      </c>
      <c r="J176" s="227" t="str">
        <f t="shared" ca="1" si="11"/>
        <v/>
      </c>
      <c r="K176" s="230" t="str">
        <f t="shared" ca="1" si="12"/>
        <v/>
      </c>
      <c r="L176" s="231" t="str">
        <f t="shared" ca="1" si="13"/>
        <v/>
      </c>
    </row>
    <row r="177" spans="1:12" x14ac:dyDescent="0.25">
      <c r="A177" s="227" t="str">
        <f>TEXT('1 Récapitulation'!$E$10 &amp; "-SHR","@")</f>
        <v>-SHR</v>
      </c>
      <c r="B177" s="228" t="str">
        <f ca="1">TEXT(IF(G177&lt;&gt; 0,OFFSET(INDIRECT(rtI.Anker2b),19,0),""),"@")</f>
        <v/>
      </c>
      <c r="C177" s="227" t="s">
        <v>9</v>
      </c>
      <c r="D177" s="227" t="s">
        <v>45</v>
      </c>
      <c r="E177" s="227" t="s">
        <v>37</v>
      </c>
      <c r="F177" s="227" t="s">
        <v>46</v>
      </c>
      <c r="G177" s="229">
        <f ca="1">OFFSET(INDIRECT(rtI.Anker2b),19,6)</f>
        <v>0</v>
      </c>
      <c r="H177" s="227" t="str">
        <f t="shared" ca="1" si="10"/>
        <v/>
      </c>
      <c r="I177" s="227" t="str">
        <f t="shared" ca="1" si="14"/>
        <v/>
      </c>
      <c r="J177" s="227" t="str">
        <f t="shared" ca="1" si="11"/>
        <v/>
      </c>
      <c r="K177" s="230" t="str">
        <f t="shared" ca="1" si="12"/>
        <v/>
      </c>
      <c r="L177" s="231" t="str">
        <f t="shared" ca="1" si="13"/>
        <v/>
      </c>
    </row>
    <row r="178" spans="1:12" x14ac:dyDescent="0.25">
      <c r="A178" s="227" t="str">
        <f>TEXT('1 Récapitulation'!$E$10 &amp; "-SHR","@")</f>
        <v>-SHR</v>
      </c>
      <c r="B178" s="228" t="str">
        <f ca="1">TEXT(IF(G178&lt;&gt; 0,OFFSET(INDIRECT(rtI.Anker2b),20,0),""),"@")</f>
        <v/>
      </c>
      <c r="C178" s="227" t="s">
        <v>9</v>
      </c>
      <c r="D178" s="227" t="s">
        <v>45</v>
      </c>
      <c r="E178" s="227" t="s">
        <v>37</v>
      </c>
      <c r="F178" s="227" t="s">
        <v>46</v>
      </c>
      <c r="G178" s="229">
        <f ca="1">OFFSET(INDIRECT(rtI.Anker2b),20,6)</f>
        <v>0</v>
      </c>
      <c r="H178" s="227" t="str">
        <f t="shared" ca="1" si="10"/>
        <v/>
      </c>
      <c r="I178" s="227" t="str">
        <f t="shared" ca="1" si="14"/>
        <v/>
      </c>
      <c r="J178" s="227" t="str">
        <f t="shared" ca="1" si="11"/>
        <v/>
      </c>
      <c r="K178" s="230" t="str">
        <f t="shared" ca="1" si="12"/>
        <v/>
      </c>
      <c r="L178" s="231" t="str">
        <f t="shared" ca="1" si="13"/>
        <v/>
      </c>
    </row>
    <row r="179" spans="1:12" x14ac:dyDescent="0.25">
      <c r="A179" s="227" t="str">
        <f>TEXT('1 Récapitulation'!$E$10 &amp; "-SHR","@")</f>
        <v>-SHR</v>
      </c>
      <c r="B179" s="228" t="str">
        <f ca="1">TEXT(IF(G179&lt;&gt; 0,OFFSET(INDIRECT(rtI.Anker2b),21,0),""),"@")</f>
        <v/>
      </c>
      <c r="C179" s="227" t="s">
        <v>9</v>
      </c>
      <c r="D179" s="227" t="s">
        <v>45</v>
      </c>
      <c r="E179" s="227" t="s">
        <v>37</v>
      </c>
      <c r="F179" s="227" t="s">
        <v>46</v>
      </c>
      <c r="G179" s="229">
        <f ca="1">OFFSET(INDIRECT(rtI.Anker2b),21,6)</f>
        <v>0</v>
      </c>
      <c r="H179" s="227" t="str">
        <f t="shared" ca="1" si="10"/>
        <v/>
      </c>
      <c r="I179" s="227" t="str">
        <f t="shared" ca="1" si="14"/>
        <v/>
      </c>
      <c r="J179" s="227" t="str">
        <f t="shared" ca="1" si="11"/>
        <v/>
      </c>
      <c r="K179" s="230" t="str">
        <f t="shared" ca="1" si="12"/>
        <v/>
      </c>
      <c r="L179" s="231" t="str">
        <f t="shared" ca="1" si="13"/>
        <v/>
      </c>
    </row>
    <row r="180" spans="1:12" x14ac:dyDescent="0.25">
      <c r="A180" s="227" t="str">
        <f>TEXT('1 Récapitulation'!$E$10 &amp; "-SHR","@")</f>
        <v>-SHR</v>
      </c>
      <c r="B180" s="228" t="str">
        <f ca="1">TEXT(IF(G180&lt;&gt; 0,OFFSET(INDIRECT(rtI.Anker2b),22,0),""),"@")</f>
        <v/>
      </c>
      <c r="C180" s="227" t="s">
        <v>9</v>
      </c>
      <c r="D180" s="227" t="s">
        <v>45</v>
      </c>
      <c r="E180" s="227" t="s">
        <v>37</v>
      </c>
      <c r="F180" s="227" t="s">
        <v>46</v>
      </c>
      <c r="G180" s="229">
        <f ca="1">OFFSET(INDIRECT(rtI.Anker2b),22,6)</f>
        <v>0</v>
      </c>
      <c r="H180" s="227" t="str">
        <f t="shared" ca="1" si="10"/>
        <v/>
      </c>
      <c r="I180" s="227" t="str">
        <f t="shared" ca="1" si="14"/>
        <v/>
      </c>
      <c r="J180" s="227" t="str">
        <f t="shared" ca="1" si="11"/>
        <v/>
      </c>
      <c r="K180" s="230" t="str">
        <f t="shared" ca="1" si="12"/>
        <v/>
      </c>
      <c r="L180" s="231" t="str">
        <f t="shared" ca="1" si="13"/>
        <v/>
      </c>
    </row>
    <row r="181" spans="1:12" x14ac:dyDescent="0.25">
      <c r="A181" s="227" t="str">
        <f>TEXT('1 Récapitulation'!$E$10 &amp; "-SHR","@")</f>
        <v>-SHR</v>
      </c>
      <c r="B181" s="228" t="str">
        <f ca="1">TEXT(IF(G181&lt;&gt; 0,OFFSET(INDIRECT(rtI.Anker2b),23,0),""),"@")</f>
        <v/>
      </c>
      <c r="C181" s="227" t="s">
        <v>9</v>
      </c>
      <c r="D181" s="227" t="s">
        <v>45</v>
      </c>
      <c r="E181" s="227" t="s">
        <v>37</v>
      </c>
      <c r="F181" s="227" t="s">
        <v>46</v>
      </c>
      <c r="G181" s="229">
        <f ca="1">OFFSET(INDIRECT(rtI.Anker2b),23,6)</f>
        <v>0</v>
      </c>
      <c r="H181" s="227" t="str">
        <f t="shared" ca="1" si="10"/>
        <v/>
      </c>
      <c r="I181" s="227" t="str">
        <f t="shared" ca="1" si="14"/>
        <v/>
      </c>
      <c r="J181" s="227" t="str">
        <f t="shared" ca="1" si="11"/>
        <v/>
      </c>
      <c r="K181" s="230" t="str">
        <f t="shared" ca="1" si="12"/>
        <v/>
      </c>
      <c r="L181" s="231" t="str">
        <f t="shared" ca="1" si="13"/>
        <v/>
      </c>
    </row>
    <row r="182" spans="1:12" x14ac:dyDescent="0.25">
      <c r="A182" s="227" t="str">
        <f>TEXT('1 Récapitulation'!$E$10 &amp; "-SHR","@")</f>
        <v>-SHR</v>
      </c>
      <c r="B182" s="228" t="str">
        <f ca="1">TEXT(IF(G182&lt;&gt; 0,OFFSET(INDIRECT(rtI.Anker2b),24,0),""),"@")</f>
        <v/>
      </c>
      <c r="C182" s="227" t="s">
        <v>9</v>
      </c>
      <c r="D182" s="227" t="s">
        <v>45</v>
      </c>
      <c r="E182" s="227" t="s">
        <v>37</v>
      </c>
      <c r="F182" s="227" t="s">
        <v>46</v>
      </c>
      <c r="G182" s="229">
        <f ca="1">OFFSET(INDIRECT(rtI.Anker2b),24,6)</f>
        <v>0</v>
      </c>
      <c r="H182" s="227" t="str">
        <f t="shared" ca="1" si="10"/>
        <v/>
      </c>
      <c r="I182" s="227" t="str">
        <f t="shared" ca="1" si="14"/>
        <v/>
      </c>
      <c r="J182" s="227" t="str">
        <f t="shared" ca="1" si="11"/>
        <v/>
      </c>
      <c r="K182" s="230" t="str">
        <f t="shared" ca="1" si="12"/>
        <v/>
      </c>
      <c r="L182" s="231" t="str">
        <f t="shared" ca="1" si="13"/>
        <v/>
      </c>
    </row>
    <row r="183" spans="1:12" x14ac:dyDescent="0.25">
      <c r="A183" s="227" t="str">
        <f>TEXT('1 Récapitulation'!$E$10 &amp; "-SHR","@")</f>
        <v>-SHR</v>
      </c>
      <c r="B183" s="228" t="str">
        <f ca="1">TEXT(IF(G183&lt;&gt; 0,OFFSET(INDIRECT(rtI.Anker2b),25,0),""),"@")</f>
        <v/>
      </c>
      <c r="C183" s="227" t="s">
        <v>9</v>
      </c>
      <c r="D183" s="227" t="s">
        <v>45</v>
      </c>
      <c r="E183" s="227" t="s">
        <v>37</v>
      </c>
      <c r="F183" s="227" t="s">
        <v>46</v>
      </c>
      <c r="G183" s="229">
        <f ca="1">OFFSET(INDIRECT(rtI.Anker2b),25,6)</f>
        <v>0</v>
      </c>
      <c r="H183" s="227" t="str">
        <f t="shared" ca="1" si="10"/>
        <v/>
      </c>
      <c r="I183" s="227" t="str">
        <f t="shared" ca="1" si="14"/>
        <v/>
      </c>
      <c r="J183" s="227" t="str">
        <f t="shared" ca="1" si="11"/>
        <v/>
      </c>
      <c r="K183" s="230" t="str">
        <f t="shared" ca="1" si="12"/>
        <v/>
      </c>
      <c r="L183" s="231" t="str">
        <f t="shared" ca="1" si="13"/>
        <v/>
      </c>
    </row>
    <row r="184" spans="1:12" x14ac:dyDescent="0.25">
      <c r="A184" s="227" t="str">
        <f>TEXT('1 Récapitulation'!$E$10 &amp; "-SHR","@")</f>
        <v>-SHR</v>
      </c>
      <c r="B184" s="228" t="str">
        <f ca="1">TEXT(IF(G184&lt;&gt; 0,OFFSET(INDIRECT(rtI.Anker2b),26,0),""),"@")</f>
        <v/>
      </c>
      <c r="C184" s="227" t="s">
        <v>9</v>
      </c>
      <c r="D184" s="227" t="s">
        <v>45</v>
      </c>
      <c r="E184" s="227" t="s">
        <v>37</v>
      </c>
      <c r="F184" s="227" t="s">
        <v>46</v>
      </c>
      <c r="G184" s="229">
        <f ca="1">OFFSET(INDIRECT(rtI.Anker2b),26,6)</f>
        <v>0</v>
      </c>
      <c r="H184" s="227" t="str">
        <f t="shared" ca="1" si="10"/>
        <v/>
      </c>
      <c r="I184" s="227" t="str">
        <f t="shared" ca="1" si="14"/>
        <v/>
      </c>
      <c r="J184" s="227" t="str">
        <f t="shared" ca="1" si="11"/>
        <v/>
      </c>
      <c r="K184" s="230" t="str">
        <f t="shared" ca="1" si="12"/>
        <v/>
      </c>
      <c r="L184" s="231" t="str">
        <f t="shared" ca="1" si="13"/>
        <v/>
      </c>
    </row>
    <row r="185" spans="1:12" x14ac:dyDescent="0.25">
      <c r="A185" s="227" t="str">
        <f>TEXT('1 Récapitulation'!$E$10 &amp; "-SHR","@")</f>
        <v>-SHR</v>
      </c>
      <c r="B185" s="228" t="str">
        <f ca="1">TEXT(IF(G185&lt;&gt; 0,OFFSET(INDIRECT(rtI.Anker2b),27,0),""),"@")</f>
        <v/>
      </c>
      <c r="C185" s="227" t="s">
        <v>9</v>
      </c>
      <c r="D185" s="227" t="s">
        <v>45</v>
      </c>
      <c r="E185" s="227" t="s">
        <v>37</v>
      </c>
      <c r="F185" s="227" t="s">
        <v>46</v>
      </c>
      <c r="G185" s="229">
        <f ca="1">OFFSET(INDIRECT(rtI.Anker2b),27,6)</f>
        <v>0</v>
      </c>
      <c r="H185" s="227" t="str">
        <f t="shared" ca="1" si="10"/>
        <v/>
      </c>
      <c r="I185" s="227" t="str">
        <f t="shared" ca="1" si="14"/>
        <v/>
      </c>
      <c r="J185" s="227" t="str">
        <f t="shared" ca="1" si="11"/>
        <v/>
      </c>
      <c r="K185" s="230" t="str">
        <f t="shared" ca="1" si="12"/>
        <v/>
      </c>
      <c r="L185" s="231" t="str">
        <f t="shared" ca="1" si="13"/>
        <v/>
      </c>
    </row>
    <row r="186" spans="1:12" x14ac:dyDescent="0.25">
      <c r="A186" s="227" t="str">
        <f>TEXT('1 Récapitulation'!$E$10 &amp; "-SHR","@")</f>
        <v>-SHR</v>
      </c>
      <c r="B186" s="228" t="str">
        <f ca="1">TEXT(IF(G186&lt;&gt; 0,OFFSET(INDIRECT(rtI.Anker2b),28,0),""),"@")</f>
        <v/>
      </c>
      <c r="C186" s="227" t="s">
        <v>9</v>
      </c>
      <c r="D186" s="227" t="s">
        <v>45</v>
      </c>
      <c r="E186" s="227" t="s">
        <v>37</v>
      </c>
      <c r="F186" s="227" t="s">
        <v>46</v>
      </c>
      <c r="G186" s="229">
        <f ca="1">OFFSET(INDIRECT(rtI.Anker2b),28,6)</f>
        <v>0</v>
      </c>
      <c r="H186" s="227" t="str">
        <f t="shared" ca="1" si="10"/>
        <v/>
      </c>
      <c r="I186" s="227" t="str">
        <f t="shared" ca="1" si="14"/>
        <v/>
      </c>
      <c r="J186" s="227" t="str">
        <f t="shared" ca="1" si="11"/>
        <v/>
      </c>
      <c r="K186" s="230" t="str">
        <f t="shared" ca="1" si="12"/>
        <v/>
      </c>
      <c r="L186" s="231" t="str">
        <f t="shared" ca="1" si="13"/>
        <v/>
      </c>
    </row>
    <row r="187" spans="1:12" x14ac:dyDescent="0.25">
      <c r="A187" s="227" t="str">
        <f>TEXT('1 Récapitulation'!$E$10 &amp; "-SHR","@")</f>
        <v>-SHR</v>
      </c>
      <c r="B187" s="228" t="str">
        <f ca="1">TEXT(IF(G187&lt;&gt; 0,OFFSET(INDIRECT(rtI.Anker2b),29,0),""),"@")</f>
        <v/>
      </c>
      <c r="C187" s="227" t="s">
        <v>9</v>
      </c>
      <c r="D187" s="227" t="s">
        <v>45</v>
      </c>
      <c r="E187" s="227" t="s">
        <v>37</v>
      </c>
      <c r="F187" s="227" t="s">
        <v>46</v>
      </c>
      <c r="G187" s="229">
        <f ca="1">OFFSET(INDIRECT(rtI.Anker2b),29,6)</f>
        <v>0</v>
      </c>
      <c r="H187" s="227" t="str">
        <f t="shared" ca="1" si="10"/>
        <v/>
      </c>
      <c r="I187" s="227" t="str">
        <f t="shared" ca="1" si="14"/>
        <v/>
      </c>
      <c r="J187" s="227" t="str">
        <f t="shared" ca="1" si="11"/>
        <v/>
      </c>
      <c r="K187" s="230" t="str">
        <f t="shared" ca="1" si="12"/>
        <v/>
      </c>
      <c r="L187" s="231" t="str">
        <f t="shared" ca="1" si="13"/>
        <v/>
      </c>
    </row>
    <row r="188" spans="1:12" x14ac:dyDescent="0.25">
      <c r="A188" s="227" t="str">
        <f>TEXT('1 Récapitulation'!$E$10 &amp; "-SHR","@")</f>
        <v>-SHR</v>
      </c>
      <c r="B188" s="228" t="str">
        <f ca="1">TEXT(IF(G188&lt;&gt; 0,OFFSET(INDIRECT(rtI.Anker2b),30,0),""),"@")</f>
        <v/>
      </c>
      <c r="C188" s="227" t="s">
        <v>9</v>
      </c>
      <c r="D188" s="227" t="s">
        <v>45</v>
      </c>
      <c r="E188" s="227" t="s">
        <v>37</v>
      </c>
      <c r="F188" s="227" t="s">
        <v>46</v>
      </c>
      <c r="G188" s="229">
        <f ca="1">OFFSET(INDIRECT(rtI.Anker2b),30,6)</f>
        <v>0</v>
      </c>
      <c r="H188" s="227" t="str">
        <f t="shared" ca="1" si="10"/>
        <v/>
      </c>
      <c r="I188" s="227" t="str">
        <f t="shared" ca="1" si="14"/>
        <v/>
      </c>
      <c r="J188" s="227" t="str">
        <f t="shared" ca="1" si="11"/>
        <v/>
      </c>
      <c r="K188" s="230" t="str">
        <f t="shared" ca="1" si="12"/>
        <v/>
      </c>
      <c r="L188" s="231" t="str">
        <f t="shared" ca="1" si="13"/>
        <v/>
      </c>
    </row>
    <row r="189" spans="1:12" x14ac:dyDescent="0.25">
      <c r="A189" s="227" t="str">
        <f>TEXT('1 Récapitulation'!$E$10 &amp; "-SHR","@")</f>
        <v>-SHR</v>
      </c>
      <c r="B189" s="228" t="str">
        <f ca="1">TEXT(IF(G189&lt;&gt; 0,OFFSET(INDIRECT(rtI.Anker2b),31,0),""),"@")</f>
        <v/>
      </c>
      <c r="C189" s="227" t="s">
        <v>9</v>
      </c>
      <c r="D189" s="227" t="s">
        <v>45</v>
      </c>
      <c r="E189" s="227" t="s">
        <v>37</v>
      </c>
      <c r="F189" s="227" t="s">
        <v>46</v>
      </c>
      <c r="G189" s="229">
        <f ca="1">OFFSET(INDIRECT(rtI.Anker2b),31,6)</f>
        <v>0</v>
      </c>
      <c r="H189" s="227" t="str">
        <f t="shared" ca="1" si="10"/>
        <v/>
      </c>
      <c r="I189" s="227" t="str">
        <f t="shared" ca="1" si="14"/>
        <v/>
      </c>
      <c r="J189" s="227" t="str">
        <f t="shared" ca="1" si="11"/>
        <v/>
      </c>
      <c r="K189" s="230" t="str">
        <f t="shared" ca="1" si="12"/>
        <v/>
      </c>
      <c r="L189" s="231" t="str">
        <f t="shared" ca="1" si="13"/>
        <v/>
      </c>
    </row>
    <row r="190" spans="1:12" x14ac:dyDescent="0.25">
      <c r="A190" s="227" t="str">
        <f>TEXT('1 Récapitulation'!$E$10 &amp; "-SHR","@")</f>
        <v>-SHR</v>
      </c>
      <c r="B190" s="228" t="str">
        <f ca="1">TEXT(IF(G190&lt;&gt; 0,OFFSET(INDIRECT(rtI.Anker2b),32,0),""),"@")</f>
        <v/>
      </c>
      <c r="C190" s="227" t="s">
        <v>9</v>
      </c>
      <c r="D190" s="227" t="s">
        <v>45</v>
      </c>
      <c r="E190" s="227" t="s">
        <v>37</v>
      </c>
      <c r="F190" s="227" t="s">
        <v>46</v>
      </c>
      <c r="G190" s="229">
        <f ca="1">OFFSET(INDIRECT(rtI.Anker2b),32,6)</f>
        <v>0</v>
      </c>
      <c r="H190" s="227" t="str">
        <f t="shared" ca="1" si="10"/>
        <v/>
      </c>
      <c r="I190" s="227" t="str">
        <f t="shared" ca="1" si="14"/>
        <v/>
      </c>
      <c r="J190" s="227" t="str">
        <f t="shared" ca="1" si="11"/>
        <v/>
      </c>
      <c r="K190" s="230" t="str">
        <f t="shared" ca="1" si="12"/>
        <v/>
      </c>
      <c r="L190" s="231" t="str">
        <f t="shared" ca="1" si="13"/>
        <v/>
      </c>
    </row>
    <row r="191" spans="1:12" x14ac:dyDescent="0.25">
      <c r="A191" s="227" t="str">
        <f>TEXT('1 Récapitulation'!$E$10 &amp; "-SHR","@")</f>
        <v>-SHR</v>
      </c>
      <c r="B191" s="228" t="str">
        <f ca="1">TEXT(IF(G191&lt;&gt; 0,OFFSET(INDIRECT(rtI.Anker2b),33,0),""),"@")</f>
        <v/>
      </c>
      <c r="C191" s="227" t="s">
        <v>9</v>
      </c>
      <c r="D191" s="227" t="s">
        <v>45</v>
      </c>
      <c r="E191" s="227" t="s">
        <v>37</v>
      </c>
      <c r="F191" s="227" t="s">
        <v>46</v>
      </c>
      <c r="G191" s="229">
        <f ca="1">OFFSET(INDIRECT(rtI.Anker2b),33,6)</f>
        <v>0</v>
      </c>
      <c r="H191" s="227" t="str">
        <f t="shared" ca="1" si="10"/>
        <v/>
      </c>
      <c r="I191" s="227" t="str">
        <f t="shared" ca="1" si="14"/>
        <v/>
      </c>
      <c r="J191" s="227" t="str">
        <f t="shared" ca="1" si="11"/>
        <v/>
      </c>
      <c r="K191" s="230" t="str">
        <f t="shared" ca="1" si="12"/>
        <v/>
      </c>
      <c r="L191" s="231" t="str">
        <f t="shared" ca="1" si="13"/>
        <v/>
      </c>
    </row>
    <row r="192" spans="1:12" x14ac:dyDescent="0.25">
      <c r="A192" s="227" t="str">
        <f>TEXT('1 Récapitulation'!$E$10 &amp; "-SHR","@")</f>
        <v>-SHR</v>
      </c>
      <c r="B192" s="228" t="str">
        <f ca="1">TEXT(IF(G192&lt;&gt; 0,OFFSET(INDIRECT(rtI.Anker2b),34,0),""),"@")</f>
        <v/>
      </c>
      <c r="C192" s="227" t="s">
        <v>9</v>
      </c>
      <c r="D192" s="227" t="s">
        <v>45</v>
      </c>
      <c r="E192" s="227" t="s">
        <v>37</v>
      </c>
      <c r="F192" s="227" t="s">
        <v>46</v>
      </c>
      <c r="G192" s="229">
        <f ca="1">OFFSET(INDIRECT(rtI.Anker2b),34,6)</f>
        <v>0</v>
      </c>
      <c r="H192" s="227" t="str">
        <f t="shared" ca="1" si="10"/>
        <v/>
      </c>
      <c r="I192" s="227" t="str">
        <f t="shared" ca="1" si="14"/>
        <v/>
      </c>
      <c r="J192" s="227" t="str">
        <f t="shared" ca="1" si="11"/>
        <v/>
      </c>
      <c r="K192" s="230" t="str">
        <f t="shared" ca="1" si="12"/>
        <v/>
      </c>
      <c r="L192" s="231" t="str">
        <f t="shared" ca="1" si="13"/>
        <v/>
      </c>
    </row>
    <row r="193" spans="1:12" x14ac:dyDescent="0.25">
      <c r="A193" s="227" t="str">
        <f>TEXT('1 Récapitulation'!$E$10 &amp; "-SHR","@")</f>
        <v>-SHR</v>
      </c>
      <c r="B193" s="228" t="str">
        <f ca="1">TEXT(IF(G193&lt;&gt; 0,OFFSET(INDIRECT(rtI.Anker2b),35,0),""),"@")</f>
        <v/>
      </c>
      <c r="C193" s="227" t="s">
        <v>9</v>
      </c>
      <c r="D193" s="227" t="s">
        <v>45</v>
      </c>
      <c r="E193" s="227" t="s">
        <v>37</v>
      </c>
      <c r="F193" s="227" t="s">
        <v>46</v>
      </c>
      <c r="G193" s="229">
        <f ca="1">OFFSET(INDIRECT(rtI.Anker2b),35,6)</f>
        <v>0</v>
      </c>
      <c r="H193" s="227" t="str">
        <f t="shared" ca="1" si="10"/>
        <v/>
      </c>
      <c r="I193" s="227" t="str">
        <f t="shared" ca="1" si="14"/>
        <v/>
      </c>
      <c r="J193" s="227" t="str">
        <f t="shared" ca="1" si="11"/>
        <v/>
      </c>
      <c r="K193" s="230" t="str">
        <f t="shared" ca="1" si="12"/>
        <v/>
      </c>
      <c r="L193" s="231" t="str">
        <f t="shared" ca="1" si="13"/>
        <v/>
      </c>
    </row>
    <row r="194" spans="1:12" x14ac:dyDescent="0.25">
      <c r="A194" s="227" t="str">
        <f>TEXT('1 Récapitulation'!$E$10 &amp; "-SHR","@")</f>
        <v>-SHR</v>
      </c>
      <c r="B194" s="228" t="str">
        <f ca="1">TEXT(IF(G194&lt;&gt; 0,OFFSET(INDIRECT(rtI.Anker2b),36,0),""),"@")</f>
        <v/>
      </c>
      <c r="C194" s="227" t="s">
        <v>9</v>
      </c>
      <c r="D194" s="227" t="s">
        <v>45</v>
      </c>
      <c r="E194" s="227" t="s">
        <v>37</v>
      </c>
      <c r="F194" s="227" t="s">
        <v>46</v>
      </c>
      <c r="G194" s="229">
        <f ca="1">OFFSET(INDIRECT(rtI.Anker2b),36,6)</f>
        <v>0</v>
      </c>
      <c r="H194" s="227" t="str">
        <f t="shared" ref="H194:H257" ca="1" si="15">IF(G194&lt;&gt;0,IF(F194="1000","Aufwand",IF(OR(F194="1001",F194="1002",F194="1003",F194="1004",F194="1004",F194="1005",F194="1006"),"Ertrag","")),"")</f>
        <v/>
      </c>
      <c r="I194" s="227" t="str">
        <f t="shared" ca="1" si="14"/>
        <v/>
      </c>
      <c r="J194" s="227" t="str">
        <f t="shared" ref="J194:J257" ca="1" si="16">IF(H194="Aufwand","Total Aufwand",IF(H194="Ertrag","Total Ertrag",""))</f>
        <v/>
      </c>
      <c r="K194" s="230" t="str">
        <f t="shared" ref="K194:K257" ca="1" si="17">IF(H194&lt;&gt;"","999999999.99","")</f>
        <v/>
      </c>
      <c r="L194" s="231" t="str">
        <f t="shared" ref="L194:L257" ca="1" si="18">IF(H194="Aufwand","900",IF(H194="Ertrag","901",""))</f>
        <v/>
      </c>
    </row>
    <row r="195" spans="1:12" x14ac:dyDescent="0.25">
      <c r="A195" s="227" t="str">
        <f>TEXT('1 Récapitulation'!$E$10 &amp; "-SHR","@")</f>
        <v>-SHR</v>
      </c>
      <c r="B195" s="228" t="str">
        <f ca="1">TEXT(IF(G195&lt;&gt; 0,OFFSET(INDIRECT(rtI.Anker2b),37,0),""),"@")</f>
        <v/>
      </c>
      <c r="C195" s="227" t="s">
        <v>9</v>
      </c>
      <c r="D195" s="227" t="s">
        <v>45</v>
      </c>
      <c r="E195" s="227" t="s">
        <v>37</v>
      </c>
      <c r="F195" s="227" t="s">
        <v>46</v>
      </c>
      <c r="G195" s="229">
        <f ca="1">OFFSET(INDIRECT(rtI.Anker2b),37,6)</f>
        <v>0</v>
      </c>
      <c r="H195" s="227" t="str">
        <f t="shared" ca="1" si="15"/>
        <v/>
      </c>
      <c r="I195" s="227" t="str">
        <f t="shared" ref="I195:I258" ca="1" si="19">IF(H195&lt;&gt;"","Total","")</f>
        <v/>
      </c>
      <c r="J195" s="227" t="str">
        <f t="shared" ca="1" si="16"/>
        <v/>
      </c>
      <c r="K195" s="230" t="str">
        <f t="shared" ca="1" si="17"/>
        <v/>
      </c>
      <c r="L195" s="231" t="str">
        <f t="shared" ca="1" si="18"/>
        <v/>
      </c>
    </row>
    <row r="196" spans="1:12" x14ac:dyDescent="0.25">
      <c r="A196" s="227" t="str">
        <f>TEXT('1 Récapitulation'!$E$10 &amp; "-SHR","@")</f>
        <v>-SHR</v>
      </c>
      <c r="B196" s="228" t="str">
        <f ca="1">TEXT(IF(G196&lt;&gt; 0,OFFSET(INDIRECT(rtI.Anker2b),38,0),""),"@")</f>
        <v/>
      </c>
      <c r="C196" s="227" t="s">
        <v>9</v>
      </c>
      <c r="D196" s="227" t="s">
        <v>45</v>
      </c>
      <c r="E196" s="227" t="s">
        <v>37</v>
      </c>
      <c r="F196" s="227" t="s">
        <v>46</v>
      </c>
      <c r="G196" s="229">
        <f ca="1">OFFSET(INDIRECT(rtI.Anker2b),38,6)</f>
        <v>0</v>
      </c>
      <c r="H196" s="227" t="str">
        <f t="shared" ca="1" si="15"/>
        <v/>
      </c>
      <c r="I196" s="227" t="str">
        <f t="shared" ca="1" si="19"/>
        <v/>
      </c>
      <c r="J196" s="227" t="str">
        <f t="shared" ca="1" si="16"/>
        <v/>
      </c>
      <c r="K196" s="230" t="str">
        <f t="shared" ca="1" si="17"/>
        <v/>
      </c>
      <c r="L196" s="231" t="str">
        <f t="shared" ca="1" si="18"/>
        <v/>
      </c>
    </row>
    <row r="197" spans="1:12" x14ac:dyDescent="0.25">
      <c r="A197" s="227" t="str">
        <f>TEXT('1 Récapitulation'!$E$10 &amp; "-SHR","@")</f>
        <v>-SHR</v>
      </c>
      <c r="B197" s="228" t="str">
        <f ca="1">TEXT(IF(G197&lt;&gt; 0,OFFSET(INDIRECT(rtI.Anker2b),0,0),""),"@")</f>
        <v/>
      </c>
      <c r="C197" s="227" t="s">
        <v>9</v>
      </c>
      <c r="D197" s="227" t="s">
        <v>47</v>
      </c>
      <c r="E197" s="227" t="s">
        <v>37</v>
      </c>
      <c r="F197" s="227" t="s">
        <v>48</v>
      </c>
      <c r="G197" s="229">
        <f ca="1">OFFSET(INDIRECT(rtI.Anker2b),0,7)</f>
        <v>0</v>
      </c>
      <c r="H197" s="227" t="str">
        <f t="shared" ca="1" si="15"/>
        <v/>
      </c>
      <c r="I197" s="227" t="str">
        <f t="shared" ca="1" si="19"/>
        <v/>
      </c>
      <c r="J197" s="227" t="str">
        <f t="shared" ca="1" si="16"/>
        <v/>
      </c>
      <c r="K197" s="230" t="str">
        <f t="shared" ca="1" si="17"/>
        <v/>
      </c>
      <c r="L197" s="231" t="str">
        <f t="shared" ca="1" si="18"/>
        <v/>
      </c>
    </row>
    <row r="198" spans="1:12" x14ac:dyDescent="0.25">
      <c r="A198" s="227" t="str">
        <f>TEXT('1 Récapitulation'!$E$10 &amp; "-SHR","@")</f>
        <v>-SHR</v>
      </c>
      <c r="B198" s="228" t="str">
        <f ca="1">TEXT(IF(G198&lt;&gt; 0,OFFSET(INDIRECT(rtI.Anker2b),1,0),""),"@")</f>
        <v/>
      </c>
      <c r="C198" s="227" t="s">
        <v>9</v>
      </c>
      <c r="D198" s="227" t="s">
        <v>47</v>
      </c>
      <c r="E198" s="227" t="s">
        <v>37</v>
      </c>
      <c r="F198" s="227" t="s">
        <v>48</v>
      </c>
      <c r="G198" s="229">
        <f ca="1">OFFSET(INDIRECT(rtI.Anker2b),1,7)</f>
        <v>0</v>
      </c>
      <c r="H198" s="227" t="str">
        <f t="shared" ca="1" si="15"/>
        <v/>
      </c>
      <c r="I198" s="227" t="str">
        <f t="shared" ca="1" si="19"/>
        <v/>
      </c>
      <c r="J198" s="227" t="str">
        <f t="shared" ca="1" si="16"/>
        <v/>
      </c>
      <c r="K198" s="230" t="str">
        <f t="shared" ca="1" si="17"/>
        <v/>
      </c>
      <c r="L198" s="231" t="str">
        <f t="shared" ca="1" si="18"/>
        <v/>
      </c>
    </row>
    <row r="199" spans="1:12" x14ac:dyDescent="0.25">
      <c r="A199" s="227" t="str">
        <f>TEXT('1 Récapitulation'!$E$10 &amp; "-SHR","@")</f>
        <v>-SHR</v>
      </c>
      <c r="B199" s="228" t="str">
        <f ca="1">TEXT(IF(G199&lt;&gt; 0,OFFSET(INDIRECT(rtI.Anker2b),2,0),""),"@")</f>
        <v/>
      </c>
      <c r="C199" s="227" t="s">
        <v>9</v>
      </c>
      <c r="D199" s="227" t="s">
        <v>47</v>
      </c>
      <c r="E199" s="227" t="s">
        <v>37</v>
      </c>
      <c r="F199" s="227" t="s">
        <v>48</v>
      </c>
      <c r="G199" s="229">
        <f ca="1">OFFSET(INDIRECT(rtI.Anker2b),2,7)</f>
        <v>0</v>
      </c>
      <c r="H199" s="227" t="str">
        <f t="shared" ca="1" si="15"/>
        <v/>
      </c>
      <c r="I199" s="227" t="str">
        <f t="shared" ca="1" si="19"/>
        <v/>
      </c>
      <c r="J199" s="227" t="str">
        <f t="shared" ca="1" si="16"/>
        <v/>
      </c>
      <c r="K199" s="230" t="str">
        <f t="shared" ca="1" si="17"/>
        <v/>
      </c>
      <c r="L199" s="231" t="str">
        <f t="shared" ca="1" si="18"/>
        <v/>
      </c>
    </row>
    <row r="200" spans="1:12" x14ac:dyDescent="0.25">
      <c r="A200" s="227" t="str">
        <f>TEXT('1 Récapitulation'!$E$10 &amp; "-SHR","@")</f>
        <v>-SHR</v>
      </c>
      <c r="B200" s="228" t="str">
        <f ca="1">TEXT(IF(G200&lt;&gt; 0,OFFSET(INDIRECT(rtI.Anker2b),3,0),""),"@")</f>
        <v/>
      </c>
      <c r="C200" s="227" t="s">
        <v>9</v>
      </c>
      <c r="D200" s="227" t="s">
        <v>47</v>
      </c>
      <c r="E200" s="227" t="s">
        <v>37</v>
      </c>
      <c r="F200" s="227" t="s">
        <v>48</v>
      </c>
      <c r="G200" s="229">
        <f ca="1">OFFSET(INDIRECT(rtI.Anker2b),3,7)</f>
        <v>0</v>
      </c>
      <c r="H200" s="227" t="str">
        <f t="shared" ca="1" si="15"/>
        <v/>
      </c>
      <c r="I200" s="227" t="str">
        <f t="shared" ca="1" si="19"/>
        <v/>
      </c>
      <c r="J200" s="227" t="str">
        <f t="shared" ca="1" si="16"/>
        <v/>
      </c>
      <c r="K200" s="230" t="str">
        <f t="shared" ca="1" si="17"/>
        <v/>
      </c>
      <c r="L200" s="231" t="str">
        <f t="shared" ca="1" si="18"/>
        <v/>
      </c>
    </row>
    <row r="201" spans="1:12" x14ac:dyDescent="0.25">
      <c r="A201" s="227" t="str">
        <f>TEXT('1 Récapitulation'!$E$10 &amp; "-SHR","@")</f>
        <v>-SHR</v>
      </c>
      <c r="B201" s="228" t="str">
        <f ca="1">TEXT(IF(G201&lt;&gt; 0,OFFSET(INDIRECT(rtI.Anker2b),4,0),""),"@")</f>
        <v/>
      </c>
      <c r="C201" s="227" t="s">
        <v>9</v>
      </c>
      <c r="D201" s="227" t="s">
        <v>47</v>
      </c>
      <c r="E201" s="227" t="s">
        <v>37</v>
      </c>
      <c r="F201" s="227" t="s">
        <v>48</v>
      </c>
      <c r="G201" s="229">
        <f ca="1">OFFSET(INDIRECT(rtI.Anker2b),4,7)</f>
        <v>0</v>
      </c>
      <c r="H201" s="227" t="str">
        <f t="shared" ca="1" si="15"/>
        <v/>
      </c>
      <c r="I201" s="227" t="str">
        <f t="shared" ca="1" si="19"/>
        <v/>
      </c>
      <c r="J201" s="227" t="str">
        <f t="shared" ca="1" si="16"/>
        <v/>
      </c>
      <c r="K201" s="230" t="str">
        <f t="shared" ca="1" si="17"/>
        <v/>
      </c>
      <c r="L201" s="231" t="str">
        <f t="shared" ca="1" si="18"/>
        <v/>
      </c>
    </row>
    <row r="202" spans="1:12" x14ac:dyDescent="0.25">
      <c r="A202" s="227" t="str">
        <f>TEXT('1 Récapitulation'!$E$10 &amp; "-SHR","@")</f>
        <v>-SHR</v>
      </c>
      <c r="B202" s="228" t="str">
        <f ca="1">TEXT(IF(G202&lt;&gt; 0,OFFSET(INDIRECT(rtI.Anker2b),5,0),""),"@")</f>
        <v/>
      </c>
      <c r="C202" s="227" t="s">
        <v>9</v>
      </c>
      <c r="D202" s="227" t="s">
        <v>47</v>
      </c>
      <c r="E202" s="227" t="s">
        <v>37</v>
      </c>
      <c r="F202" s="227" t="s">
        <v>48</v>
      </c>
      <c r="G202" s="229">
        <f ca="1">OFFSET(INDIRECT(rtI.Anker2b),5,7)</f>
        <v>0</v>
      </c>
      <c r="H202" s="227" t="str">
        <f t="shared" ca="1" si="15"/>
        <v/>
      </c>
      <c r="I202" s="227" t="str">
        <f t="shared" ca="1" si="19"/>
        <v/>
      </c>
      <c r="J202" s="227" t="str">
        <f t="shared" ca="1" si="16"/>
        <v/>
      </c>
      <c r="K202" s="230" t="str">
        <f t="shared" ca="1" si="17"/>
        <v/>
      </c>
      <c r="L202" s="231" t="str">
        <f t="shared" ca="1" si="18"/>
        <v/>
      </c>
    </row>
    <row r="203" spans="1:12" x14ac:dyDescent="0.25">
      <c r="A203" s="227" t="str">
        <f>TEXT('1 Récapitulation'!$E$10 &amp; "-SHR","@")</f>
        <v>-SHR</v>
      </c>
      <c r="B203" s="228" t="str">
        <f ca="1">TEXT(IF(G203&lt;&gt; 0,OFFSET(INDIRECT(rtI.Anker2b),6,0),""),"@")</f>
        <v/>
      </c>
      <c r="C203" s="227" t="s">
        <v>9</v>
      </c>
      <c r="D203" s="227" t="s">
        <v>47</v>
      </c>
      <c r="E203" s="227" t="s">
        <v>37</v>
      </c>
      <c r="F203" s="227" t="s">
        <v>48</v>
      </c>
      <c r="G203" s="229">
        <f ca="1">OFFSET(INDIRECT(rtI.Anker2b),6,7)</f>
        <v>0</v>
      </c>
      <c r="H203" s="227" t="str">
        <f t="shared" ca="1" si="15"/>
        <v/>
      </c>
      <c r="I203" s="227" t="str">
        <f t="shared" ca="1" si="19"/>
        <v/>
      </c>
      <c r="J203" s="227" t="str">
        <f t="shared" ca="1" si="16"/>
        <v/>
      </c>
      <c r="K203" s="230" t="str">
        <f t="shared" ca="1" si="17"/>
        <v/>
      </c>
      <c r="L203" s="231" t="str">
        <f t="shared" ca="1" si="18"/>
        <v/>
      </c>
    </row>
    <row r="204" spans="1:12" x14ac:dyDescent="0.25">
      <c r="A204" s="227" t="str">
        <f>TEXT('1 Récapitulation'!$E$10 &amp; "-SHR","@")</f>
        <v>-SHR</v>
      </c>
      <c r="B204" s="228" t="str">
        <f ca="1">TEXT(IF(G204&lt;&gt; 0,OFFSET(INDIRECT(rtI.Anker2b),7,0),""),"@")</f>
        <v/>
      </c>
      <c r="C204" s="227" t="s">
        <v>9</v>
      </c>
      <c r="D204" s="227" t="s">
        <v>47</v>
      </c>
      <c r="E204" s="227" t="s">
        <v>37</v>
      </c>
      <c r="F204" s="227" t="s">
        <v>48</v>
      </c>
      <c r="G204" s="229">
        <f ca="1">OFFSET(INDIRECT(rtI.Anker2b),7,7)</f>
        <v>0</v>
      </c>
      <c r="H204" s="227" t="str">
        <f t="shared" ca="1" si="15"/>
        <v/>
      </c>
      <c r="I204" s="227" t="str">
        <f t="shared" ca="1" si="19"/>
        <v/>
      </c>
      <c r="J204" s="227" t="str">
        <f t="shared" ca="1" si="16"/>
        <v/>
      </c>
      <c r="K204" s="230" t="str">
        <f t="shared" ca="1" si="17"/>
        <v/>
      </c>
      <c r="L204" s="231" t="str">
        <f t="shared" ca="1" si="18"/>
        <v/>
      </c>
    </row>
    <row r="205" spans="1:12" x14ac:dyDescent="0.25">
      <c r="A205" s="227" t="str">
        <f>TEXT('1 Récapitulation'!$E$10 &amp; "-SHR","@")</f>
        <v>-SHR</v>
      </c>
      <c r="B205" s="228" t="str">
        <f ca="1">TEXT(IF(G205&lt;&gt; 0,OFFSET(INDIRECT(rtI.Anker2b),8,0),""),"@")</f>
        <v/>
      </c>
      <c r="C205" s="227" t="s">
        <v>9</v>
      </c>
      <c r="D205" s="227" t="s">
        <v>47</v>
      </c>
      <c r="E205" s="227" t="s">
        <v>37</v>
      </c>
      <c r="F205" s="227" t="s">
        <v>48</v>
      </c>
      <c r="G205" s="229">
        <f ca="1">OFFSET(INDIRECT(rtI.Anker2b),8,7)</f>
        <v>0</v>
      </c>
      <c r="H205" s="227" t="str">
        <f t="shared" ca="1" si="15"/>
        <v/>
      </c>
      <c r="I205" s="227" t="str">
        <f t="shared" ca="1" si="19"/>
        <v/>
      </c>
      <c r="J205" s="227" t="str">
        <f t="shared" ca="1" si="16"/>
        <v/>
      </c>
      <c r="K205" s="230" t="str">
        <f t="shared" ca="1" si="17"/>
        <v/>
      </c>
      <c r="L205" s="231" t="str">
        <f t="shared" ca="1" si="18"/>
        <v/>
      </c>
    </row>
    <row r="206" spans="1:12" x14ac:dyDescent="0.25">
      <c r="A206" s="227" t="str">
        <f>TEXT('1 Récapitulation'!$E$10 &amp; "-SHR","@")</f>
        <v>-SHR</v>
      </c>
      <c r="B206" s="228" t="str">
        <f ca="1">TEXT(IF(G206&lt;&gt; 0,OFFSET(INDIRECT(rtI.Anker2b),9,0),""),"@")</f>
        <v/>
      </c>
      <c r="C206" s="227" t="s">
        <v>9</v>
      </c>
      <c r="D206" s="227" t="s">
        <v>47</v>
      </c>
      <c r="E206" s="227" t="s">
        <v>37</v>
      </c>
      <c r="F206" s="227" t="s">
        <v>48</v>
      </c>
      <c r="G206" s="229">
        <f ca="1">OFFSET(INDIRECT(rtI.Anker2b),9,7)</f>
        <v>0</v>
      </c>
      <c r="H206" s="227" t="str">
        <f t="shared" ca="1" si="15"/>
        <v/>
      </c>
      <c r="I206" s="227" t="str">
        <f t="shared" ca="1" si="19"/>
        <v/>
      </c>
      <c r="J206" s="227" t="str">
        <f t="shared" ca="1" si="16"/>
        <v/>
      </c>
      <c r="K206" s="230" t="str">
        <f t="shared" ca="1" si="17"/>
        <v/>
      </c>
      <c r="L206" s="231" t="str">
        <f t="shared" ca="1" si="18"/>
        <v/>
      </c>
    </row>
    <row r="207" spans="1:12" x14ac:dyDescent="0.25">
      <c r="A207" s="227" t="str">
        <f>TEXT('1 Récapitulation'!$E$10 &amp; "-SHR","@")</f>
        <v>-SHR</v>
      </c>
      <c r="B207" s="228" t="str">
        <f ca="1">TEXT(IF(G207&lt;&gt; 0,OFFSET(INDIRECT(rtI.Anker2b),10,0),""),"@")</f>
        <v/>
      </c>
      <c r="C207" s="227" t="s">
        <v>9</v>
      </c>
      <c r="D207" s="227" t="s">
        <v>47</v>
      </c>
      <c r="E207" s="227" t="s">
        <v>37</v>
      </c>
      <c r="F207" s="227" t="s">
        <v>48</v>
      </c>
      <c r="G207" s="229">
        <f ca="1">OFFSET(INDIRECT(rtI.Anker2b),10,7)</f>
        <v>0</v>
      </c>
      <c r="H207" s="227" t="str">
        <f t="shared" ca="1" si="15"/>
        <v/>
      </c>
      <c r="I207" s="227" t="str">
        <f t="shared" ca="1" si="19"/>
        <v/>
      </c>
      <c r="J207" s="227" t="str">
        <f t="shared" ca="1" si="16"/>
        <v/>
      </c>
      <c r="K207" s="230" t="str">
        <f t="shared" ca="1" si="17"/>
        <v/>
      </c>
      <c r="L207" s="231" t="str">
        <f t="shared" ca="1" si="18"/>
        <v/>
      </c>
    </row>
    <row r="208" spans="1:12" x14ac:dyDescent="0.25">
      <c r="A208" s="227" t="str">
        <f>TEXT('1 Récapitulation'!$E$10 &amp; "-SHR","@")</f>
        <v>-SHR</v>
      </c>
      <c r="B208" s="228" t="str">
        <f ca="1">TEXT(IF(G208&lt;&gt; 0,OFFSET(INDIRECT(rtI.Anker2b),11,0),""),"@")</f>
        <v/>
      </c>
      <c r="C208" s="227" t="s">
        <v>9</v>
      </c>
      <c r="D208" s="227" t="s">
        <v>47</v>
      </c>
      <c r="E208" s="227" t="s">
        <v>37</v>
      </c>
      <c r="F208" s="227" t="s">
        <v>48</v>
      </c>
      <c r="G208" s="229">
        <f ca="1">OFFSET(INDIRECT(rtI.Anker2b),11,7)</f>
        <v>0</v>
      </c>
      <c r="H208" s="227" t="str">
        <f t="shared" ca="1" si="15"/>
        <v/>
      </c>
      <c r="I208" s="227" t="str">
        <f t="shared" ca="1" si="19"/>
        <v/>
      </c>
      <c r="J208" s="227" t="str">
        <f t="shared" ca="1" si="16"/>
        <v/>
      </c>
      <c r="K208" s="230" t="str">
        <f t="shared" ca="1" si="17"/>
        <v/>
      </c>
      <c r="L208" s="231" t="str">
        <f t="shared" ca="1" si="18"/>
        <v/>
      </c>
    </row>
    <row r="209" spans="1:12" x14ac:dyDescent="0.25">
      <c r="A209" s="227" t="str">
        <f>TEXT('1 Récapitulation'!$E$10 &amp; "-SHR","@")</f>
        <v>-SHR</v>
      </c>
      <c r="B209" s="228" t="str">
        <f ca="1">TEXT(IF(G209&lt;&gt; 0,OFFSET(INDIRECT(rtI.Anker2b),12,0),""),"@")</f>
        <v/>
      </c>
      <c r="C209" s="227" t="s">
        <v>9</v>
      </c>
      <c r="D209" s="227" t="s">
        <v>47</v>
      </c>
      <c r="E209" s="227" t="s">
        <v>37</v>
      </c>
      <c r="F209" s="227" t="s">
        <v>48</v>
      </c>
      <c r="G209" s="229">
        <f ca="1">OFFSET(INDIRECT(rtI.Anker2b),12,7)</f>
        <v>0</v>
      </c>
      <c r="H209" s="227" t="str">
        <f t="shared" ca="1" si="15"/>
        <v/>
      </c>
      <c r="I209" s="227" t="str">
        <f t="shared" ca="1" si="19"/>
        <v/>
      </c>
      <c r="J209" s="227" t="str">
        <f t="shared" ca="1" si="16"/>
        <v/>
      </c>
      <c r="K209" s="230" t="str">
        <f t="shared" ca="1" si="17"/>
        <v/>
      </c>
      <c r="L209" s="231" t="str">
        <f t="shared" ca="1" si="18"/>
        <v/>
      </c>
    </row>
    <row r="210" spans="1:12" x14ac:dyDescent="0.25">
      <c r="A210" s="227" t="str">
        <f>TEXT('1 Récapitulation'!$E$10 &amp; "-SHR","@")</f>
        <v>-SHR</v>
      </c>
      <c r="B210" s="228" t="str">
        <f ca="1">TEXT(IF(G210&lt;&gt; 0,OFFSET(INDIRECT(rtI.Anker2b),13,0),""),"@")</f>
        <v/>
      </c>
      <c r="C210" s="227" t="s">
        <v>9</v>
      </c>
      <c r="D210" s="227" t="s">
        <v>47</v>
      </c>
      <c r="E210" s="227" t="s">
        <v>37</v>
      </c>
      <c r="F210" s="227" t="s">
        <v>48</v>
      </c>
      <c r="G210" s="229">
        <f ca="1">OFFSET(INDIRECT(rtI.Anker2b),13,7)</f>
        <v>0</v>
      </c>
      <c r="H210" s="227" t="str">
        <f t="shared" ca="1" si="15"/>
        <v/>
      </c>
      <c r="I210" s="227" t="str">
        <f t="shared" ca="1" si="19"/>
        <v/>
      </c>
      <c r="J210" s="227" t="str">
        <f t="shared" ca="1" si="16"/>
        <v/>
      </c>
      <c r="K210" s="230" t="str">
        <f t="shared" ca="1" si="17"/>
        <v/>
      </c>
      <c r="L210" s="231" t="str">
        <f t="shared" ca="1" si="18"/>
        <v/>
      </c>
    </row>
    <row r="211" spans="1:12" x14ac:dyDescent="0.25">
      <c r="A211" s="227" t="str">
        <f>TEXT('1 Récapitulation'!$E$10 &amp; "-SHR","@")</f>
        <v>-SHR</v>
      </c>
      <c r="B211" s="228" t="str">
        <f ca="1">TEXT(IF(G211&lt;&gt; 0,OFFSET(INDIRECT(rtI.Anker2b),14,0),""),"@")</f>
        <v/>
      </c>
      <c r="C211" s="227" t="s">
        <v>9</v>
      </c>
      <c r="D211" s="227" t="s">
        <v>47</v>
      </c>
      <c r="E211" s="227" t="s">
        <v>37</v>
      </c>
      <c r="F211" s="227" t="s">
        <v>48</v>
      </c>
      <c r="G211" s="229">
        <f ca="1">OFFSET(INDIRECT(rtI.Anker2b),14,7)</f>
        <v>0</v>
      </c>
      <c r="H211" s="227" t="str">
        <f t="shared" ca="1" si="15"/>
        <v/>
      </c>
      <c r="I211" s="227" t="str">
        <f t="shared" ca="1" si="19"/>
        <v/>
      </c>
      <c r="J211" s="227" t="str">
        <f t="shared" ca="1" si="16"/>
        <v/>
      </c>
      <c r="K211" s="230" t="str">
        <f t="shared" ca="1" si="17"/>
        <v/>
      </c>
      <c r="L211" s="231" t="str">
        <f t="shared" ca="1" si="18"/>
        <v/>
      </c>
    </row>
    <row r="212" spans="1:12" x14ac:dyDescent="0.25">
      <c r="A212" s="227" t="str">
        <f>TEXT('1 Récapitulation'!$E$10 &amp; "-SHR","@")</f>
        <v>-SHR</v>
      </c>
      <c r="B212" s="228" t="str">
        <f ca="1">TEXT(IF(G212&lt;&gt; 0,OFFSET(INDIRECT(rtI.Anker2b),15,0),""),"@")</f>
        <v/>
      </c>
      <c r="C212" s="227" t="s">
        <v>9</v>
      </c>
      <c r="D212" s="227" t="s">
        <v>47</v>
      </c>
      <c r="E212" s="227" t="s">
        <v>37</v>
      </c>
      <c r="F212" s="227" t="s">
        <v>48</v>
      </c>
      <c r="G212" s="229">
        <f ca="1">OFFSET(INDIRECT(rtI.Anker2b),15,7)</f>
        <v>0</v>
      </c>
      <c r="H212" s="227" t="str">
        <f t="shared" ca="1" si="15"/>
        <v/>
      </c>
      <c r="I212" s="227" t="str">
        <f t="shared" ca="1" si="19"/>
        <v/>
      </c>
      <c r="J212" s="227" t="str">
        <f t="shared" ca="1" si="16"/>
        <v/>
      </c>
      <c r="K212" s="230" t="str">
        <f t="shared" ca="1" si="17"/>
        <v/>
      </c>
      <c r="L212" s="231" t="str">
        <f t="shared" ca="1" si="18"/>
        <v/>
      </c>
    </row>
    <row r="213" spans="1:12" x14ac:dyDescent="0.25">
      <c r="A213" s="227" t="str">
        <f>TEXT('1 Récapitulation'!$E$10 &amp; "-SHR","@")</f>
        <v>-SHR</v>
      </c>
      <c r="B213" s="228" t="str">
        <f ca="1">TEXT(IF(G213&lt;&gt; 0,OFFSET(INDIRECT(rtI.Anker2b),16,0),""),"@")</f>
        <v/>
      </c>
      <c r="C213" s="227" t="s">
        <v>9</v>
      </c>
      <c r="D213" s="227" t="s">
        <v>47</v>
      </c>
      <c r="E213" s="227" t="s">
        <v>37</v>
      </c>
      <c r="F213" s="227" t="s">
        <v>48</v>
      </c>
      <c r="G213" s="229">
        <f ca="1">OFFSET(INDIRECT(rtI.Anker2b),16,7)</f>
        <v>0</v>
      </c>
      <c r="H213" s="227" t="str">
        <f t="shared" ca="1" si="15"/>
        <v/>
      </c>
      <c r="I213" s="227" t="str">
        <f t="shared" ca="1" si="19"/>
        <v/>
      </c>
      <c r="J213" s="227" t="str">
        <f t="shared" ca="1" si="16"/>
        <v/>
      </c>
      <c r="K213" s="230" t="str">
        <f t="shared" ca="1" si="17"/>
        <v/>
      </c>
      <c r="L213" s="231" t="str">
        <f t="shared" ca="1" si="18"/>
        <v/>
      </c>
    </row>
    <row r="214" spans="1:12" x14ac:dyDescent="0.25">
      <c r="A214" s="227" t="str">
        <f>TEXT('1 Récapitulation'!$E$10 &amp; "-SHR","@")</f>
        <v>-SHR</v>
      </c>
      <c r="B214" s="228" t="str">
        <f ca="1">TEXT(IF(G214&lt;&gt; 0,OFFSET(INDIRECT(rtI.Anker2b),17,0),""),"@")</f>
        <v/>
      </c>
      <c r="C214" s="227" t="s">
        <v>9</v>
      </c>
      <c r="D214" s="227" t="s">
        <v>47</v>
      </c>
      <c r="E214" s="227" t="s">
        <v>37</v>
      </c>
      <c r="F214" s="227" t="s">
        <v>48</v>
      </c>
      <c r="G214" s="229">
        <f ca="1">OFFSET(INDIRECT(rtI.Anker2b),17,7)</f>
        <v>0</v>
      </c>
      <c r="H214" s="227" t="str">
        <f t="shared" ca="1" si="15"/>
        <v/>
      </c>
      <c r="I214" s="227" t="str">
        <f t="shared" ca="1" si="19"/>
        <v/>
      </c>
      <c r="J214" s="227" t="str">
        <f t="shared" ca="1" si="16"/>
        <v/>
      </c>
      <c r="K214" s="230" t="str">
        <f t="shared" ca="1" si="17"/>
        <v/>
      </c>
      <c r="L214" s="231" t="str">
        <f t="shared" ca="1" si="18"/>
        <v/>
      </c>
    </row>
    <row r="215" spans="1:12" x14ac:dyDescent="0.25">
      <c r="A215" s="227" t="str">
        <f>TEXT('1 Récapitulation'!$E$10 &amp; "-SHR","@")</f>
        <v>-SHR</v>
      </c>
      <c r="B215" s="228" t="str">
        <f ca="1">TEXT(IF(G215&lt;&gt; 0,OFFSET(INDIRECT(rtI.Anker2b),18,0),""),"@")</f>
        <v/>
      </c>
      <c r="C215" s="227" t="s">
        <v>9</v>
      </c>
      <c r="D215" s="227" t="s">
        <v>47</v>
      </c>
      <c r="E215" s="227" t="s">
        <v>37</v>
      </c>
      <c r="F215" s="227" t="s">
        <v>48</v>
      </c>
      <c r="G215" s="229">
        <f ca="1">OFFSET(INDIRECT(rtI.Anker2b),18,7)</f>
        <v>0</v>
      </c>
      <c r="H215" s="227" t="str">
        <f t="shared" ca="1" si="15"/>
        <v/>
      </c>
      <c r="I215" s="227" t="str">
        <f t="shared" ca="1" si="19"/>
        <v/>
      </c>
      <c r="J215" s="227" t="str">
        <f t="shared" ca="1" si="16"/>
        <v/>
      </c>
      <c r="K215" s="230" t="str">
        <f t="shared" ca="1" si="17"/>
        <v/>
      </c>
      <c r="L215" s="231" t="str">
        <f t="shared" ca="1" si="18"/>
        <v/>
      </c>
    </row>
    <row r="216" spans="1:12" x14ac:dyDescent="0.25">
      <c r="A216" s="227" t="str">
        <f>TEXT('1 Récapitulation'!$E$10 &amp; "-SHR","@")</f>
        <v>-SHR</v>
      </c>
      <c r="B216" s="228" t="str">
        <f ca="1">TEXT(IF(G216&lt;&gt; 0,OFFSET(INDIRECT(rtI.Anker2b),19,0),""),"@")</f>
        <v/>
      </c>
      <c r="C216" s="227" t="s">
        <v>9</v>
      </c>
      <c r="D216" s="227" t="s">
        <v>47</v>
      </c>
      <c r="E216" s="227" t="s">
        <v>37</v>
      </c>
      <c r="F216" s="227" t="s">
        <v>48</v>
      </c>
      <c r="G216" s="229">
        <f ca="1">OFFSET(INDIRECT(rtI.Anker2b),19,7)</f>
        <v>0</v>
      </c>
      <c r="H216" s="227" t="str">
        <f t="shared" ca="1" si="15"/>
        <v/>
      </c>
      <c r="I216" s="227" t="str">
        <f t="shared" ca="1" si="19"/>
        <v/>
      </c>
      <c r="J216" s="227" t="str">
        <f t="shared" ca="1" si="16"/>
        <v/>
      </c>
      <c r="K216" s="230" t="str">
        <f t="shared" ca="1" si="17"/>
        <v/>
      </c>
      <c r="L216" s="231" t="str">
        <f t="shared" ca="1" si="18"/>
        <v/>
      </c>
    </row>
    <row r="217" spans="1:12" x14ac:dyDescent="0.25">
      <c r="A217" s="227" t="str">
        <f>TEXT('1 Récapitulation'!$E$10 &amp; "-SHR","@")</f>
        <v>-SHR</v>
      </c>
      <c r="B217" s="228" t="str">
        <f ca="1">TEXT(IF(G217&lt;&gt; 0,OFFSET(INDIRECT(rtI.Anker2b),20,0),""),"@")</f>
        <v/>
      </c>
      <c r="C217" s="227" t="s">
        <v>9</v>
      </c>
      <c r="D217" s="227" t="s">
        <v>47</v>
      </c>
      <c r="E217" s="227" t="s">
        <v>37</v>
      </c>
      <c r="F217" s="227" t="s">
        <v>48</v>
      </c>
      <c r="G217" s="229">
        <f ca="1">OFFSET(INDIRECT(rtI.Anker2b),20,7)</f>
        <v>0</v>
      </c>
      <c r="H217" s="227" t="str">
        <f t="shared" ca="1" si="15"/>
        <v/>
      </c>
      <c r="I217" s="227" t="str">
        <f t="shared" ca="1" si="19"/>
        <v/>
      </c>
      <c r="J217" s="227" t="str">
        <f t="shared" ca="1" si="16"/>
        <v/>
      </c>
      <c r="K217" s="230" t="str">
        <f t="shared" ca="1" si="17"/>
        <v/>
      </c>
      <c r="L217" s="231" t="str">
        <f t="shared" ca="1" si="18"/>
        <v/>
      </c>
    </row>
    <row r="218" spans="1:12" x14ac:dyDescent="0.25">
      <c r="A218" s="227" t="str">
        <f>TEXT('1 Récapitulation'!$E$10 &amp; "-SHR","@")</f>
        <v>-SHR</v>
      </c>
      <c r="B218" s="228" t="str">
        <f ca="1">TEXT(IF(G218&lt;&gt; 0,OFFSET(INDIRECT(rtI.Anker2b),21,0),""),"@")</f>
        <v/>
      </c>
      <c r="C218" s="227" t="s">
        <v>9</v>
      </c>
      <c r="D218" s="227" t="s">
        <v>47</v>
      </c>
      <c r="E218" s="227" t="s">
        <v>37</v>
      </c>
      <c r="F218" s="227" t="s">
        <v>48</v>
      </c>
      <c r="G218" s="229">
        <f ca="1">OFFSET(INDIRECT(rtI.Anker2b),21,7)</f>
        <v>0</v>
      </c>
      <c r="H218" s="227" t="str">
        <f t="shared" ca="1" si="15"/>
        <v/>
      </c>
      <c r="I218" s="227" t="str">
        <f t="shared" ca="1" si="19"/>
        <v/>
      </c>
      <c r="J218" s="227" t="str">
        <f t="shared" ca="1" si="16"/>
        <v/>
      </c>
      <c r="K218" s="230" t="str">
        <f t="shared" ca="1" si="17"/>
        <v/>
      </c>
      <c r="L218" s="231" t="str">
        <f t="shared" ca="1" si="18"/>
        <v/>
      </c>
    </row>
    <row r="219" spans="1:12" x14ac:dyDescent="0.25">
      <c r="A219" s="227" t="str">
        <f>TEXT('1 Récapitulation'!$E$10 &amp; "-SHR","@")</f>
        <v>-SHR</v>
      </c>
      <c r="B219" s="228" t="str">
        <f ca="1">TEXT(IF(G219&lt;&gt; 0,OFFSET(INDIRECT(rtI.Anker2b),22,0),""),"@")</f>
        <v/>
      </c>
      <c r="C219" s="227" t="s">
        <v>9</v>
      </c>
      <c r="D219" s="227" t="s">
        <v>47</v>
      </c>
      <c r="E219" s="227" t="s">
        <v>37</v>
      </c>
      <c r="F219" s="227" t="s">
        <v>48</v>
      </c>
      <c r="G219" s="229">
        <f ca="1">OFFSET(INDIRECT(rtI.Anker2b),22,7)</f>
        <v>0</v>
      </c>
      <c r="H219" s="227" t="str">
        <f t="shared" ca="1" si="15"/>
        <v/>
      </c>
      <c r="I219" s="227" t="str">
        <f t="shared" ca="1" si="19"/>
        <v/>
      </c>
      <c r="J219" s="227" t="str">
        <f t="shared" ca="1" si="16"/>
        <v/>
      </c>
      <c r="K219" s="230" t="str">
        <f t="shared" ca="1" si="17"/>
        <v/>
      </c>
      <c r="L219" s="231" t="str">
        <f t="shared" ca="1" si="18"/>
        <v/>
      </c>
    </row>
    <row r="220" spans="1:12" x14ac:dyDescent="0.25">
      <c r="A220" s="227" t="str">
        <f>TEXT('1 Récapitulation'!$E$10 &amp; "-SHR","@")</f>
        <v>-SHR</v>
      </c>
      <c r="B220" s="228" t="str">
        <f ca="1">TEXT(IF(G220&lt;&gt; 0,OFFSET(INDIRECT(rtI.Anker2b),23,0),""),"@")</f>
        <v/>
      </c>
      <c r="C220" s="227" t="s">
        <v>9</v>
      </c>
      <c r="D220" s="227" t="s">
        <v>47</v>
      </c>
      <c r="E220" s="227" t="s">
        <v>37</v>
      </c>
      <c r="F220" s="227" t="s">
        <v>48</v>
      </c>
      <c r="G220" s="229">
        <f ca="1">OFFSET(INDIRECT(rtI.Anker2b),23,7)</f>
        <v>0</v>
      </c>
      <c r="H220" s="227" t="str">
        <f t="shared" ca="1" si="15"/>
        <v/>
      </c>
      <c r="I220" s="227" t="str">
        <f t="shared" ca="1" si="19"/>
        <v/>
      </c>
      <c r="J220" s="227" t="str">
        <f t="shared" ca="1" si="16"/>
        <v/>
      </c>
      <c r="K220" s="230" t="str">
        <f t="shared" ca="1" si="17"/>
        <v/>
      </c>
      <c r="L220" s="231" t="str">
        <f t="shared" ca="1" si="18"/>
        <v/>
      </c>
    </row>
    <row r="221" spans="1:12" x14ac:dyDescent="0.25">
      <c r="A221" s="227" t="str">
        <f>TEXT('1 Récapitulation'!$E$10 &amp; "-SHR","@")</f>
        <v>-SHR</v>
      </c>
      <c r="B221" s="228" t="str">
        <f ca="1">TEXT(IF(G221&lt;&gt; 0,OFFSET(INDIRECT(rtI.Anker2b),24,0),""),"@")</f>
        <v/>
      </c>
      <c r="C221" s="227" t="s">
        <v>9</v>
      </c>
      <c r="D221" s="227" t="s">
        <v>47</v>
      </c>
      <c r="E221" s="227" t="s">
        <v>37</v>
      </c>
      <c r="F221" s="227" t="s">
        <v>48</v>
      </c>
      <c r="G221" s="229">
        <f ca="1">OFFSET(INDIRECT(rtI.Anker2b),24,7)</f>
        <v>0</v>
      </c>
      <c r="H221" s="227" t="str">
        <f t="shared" ca="1" si="15"/>
        <v/>
      </c>
      <c r="I221" s="227" t="str">
        <f t="shared" ca="1" si="19"/>
        <v/>
      </c>
      <c r="J221" s="227" t="str">
        <f t="shared" ca="1" si="16"/>
        <v/>
      </c>
      <c r="K221" s="230" t="str">
        <f t="shared" ca="1" si="17"/>
        <v/>
      </c>
      <c r="L221" s="231" t="str">
        <f t="shared" ca="1" si="18"/>
        <v/>
      </c>
    </row>
    <row r="222" spans="1:12" x14ac:dyDescent="0.25">
      <c r="A222" s="227" t="str">
        <f>TEXT('1 Récapitulation'!$E$10 &amp; "-SHR","@")</f>
        <v>-SHR</v>
      </c>
      <c r="B222" s="228" t="str">
        <f ca="1">TEXT(IF(G222&lt;&gt; 0,OFFSET(INDIRECT(rtI.Anker2b),25,0),""),"@")</f>
        <v/>
      </c>
      <c r="C222" s="227" t="s">
        <v>9</v>
      </c>
      <c r="D222" s="227" t="s">
        <v>47</v>
      </c>
      <c r="E222" s="227" t="s">
        <v>37</v>
      </c>
      <c r="F222" s="227" t="s">
        <v>48</v>
      </c>
      <c r="G222" s="229">
        <f ca="1">OFFSET(INDIRECT(rtI.Anker2b),25,7)</f>
        <v>0</v>
      </c>
      <c r="H222" s="227" t="str">
        <f t="shared" ca="1" si="15"/>
        <v/>
      </c>
      <c r="I222" s="227" t="str">
        <f t="shared" ca="1" si="19"/>
        <v/>
      </c>
      <c r="J222" s="227" t="str">
        <f t="shared" ca="1" si="16"/>
        <v/>
      </c>
      <c r="K222" s="230" t="str">
        <f t="shared" ca="1" si="17"/>
        <v/>
      </c>
      <c r="L222" s="231" t="str">
        <f t="shared" ca="1" si="18"/>
        <v/>
      </c>
    </row>
    <row r="223" spans="1:12" x14ac:dyDescent="0.25">
      <c r="A223" s="227" t="str">
        <f>TEXT('1 Récapitulation'!$E$10 &amp; "-SHR","@")</f>
        <v>-SHR</v>
      </c>
      <c r="B223" s="228" t="str">
        <f ca="1">TEXT(IF(G223&lt;&gt; 0,OFFSET(INDIRECT(rtI.Anker2b),26,0),""),"@")</f>
        <v/>
      </c>
      <c r="C223" s="227" t="s">
        <v>9</v>
      </c>
      <c r="D223" s="227" t="s">
        <v>47</v>
      </c>
      <c r="E223" s="227" t="s">
        <v>37</v>
      </c>
      <c r="F223" s="227" t="s">
        <v>48</v>
      </c>
      <c r="G223" s="229">
        <f ca="1">OFFSET(INDIRECT(rtI.Anker2b),26,7)</f>
        <v>0</v>
      </c>
      <c r="H223" s="227" t="str">
        <f t="shared" ca="1" si="15"/>
        <v/>
      </c>
      <c r="I223" s="227" t="str">
        <f t="shared" ca="1" si="19"/>
        <v/>
      </c>
      <c r="J223" s="227" t="str">
        <f t="shared" ca="1" si="16"/>
        <v/>
      </c>
      <c r="K223" s="230" t="str">
        <f t="shared" ca="1" si="17"/>
        <v/>
      </c>
      <c r="L223" s="231" t="str">
        <f t="shared" ca="1" si="18"/>
        <v/>
      </c>
    </row>
    <row r="224" spans="1:12" x14ac:dyDescent="0.25">
      <c r="A224" s="227" t="str">
        <f>TEXT('1 Récapitulation'!$E$10 &amp; "-SHR","@")</f>
        <v>-SHR</v>
      </c>
      <c r="B224" s="228" t="str">
        <f ca="1">TEXT(IF(G224&lt;&gt; 0,OFFSET(INDIRECT(rtI.Anker2b),27,0),""),"@")</f>
        <v/>
      </c>
      <c r="C224" s="227" t="s">
        <v>9</v>
      </c>
      <c r="D224" s="227" t="s">
        <v>47</v>
      </c>
      <c r="E224" s="227" t="s">
        <v>37</v>
      </c>
      <c r="F224" s="227" t="s">
        <v>48</v>
      </c>
      <c r="G224" s="229">
        <f ca="1">OFFSET(INDIRECT(rtI.Anker2b),27,7)</f>
        <v>0</v>
      </c>
      <c r="H224" s="227" t="str">
        <f t="shared" ca="1" si="15"/>
        <v/>
      </c>
      <c r="I224" s="227" t="str">
        <f t="shared" ca="1" si="19"/>
        <v/>
      </c>
      <c r="J224" s="227" t="str">
        <f t="shared" ca="1" si="16"/>
        <v/>
      </c>
      <c r="K224" s="230" t="str">
        <f t="shared" ca="1" si="17"/>
        <v/>
      </c>
      <c r="L224" s="231" t="str">
        <f t="shared" ca="1" si="18"/>
        <v/>
      </c>
    </row>
    <row r="225" spans="1:12" x14ac:dyDescent="0.25">
      <c r="A225" s="227" t="str">
        <f>TEXT('1 Récapitulation'!$E$10 &amp; "-SHR","@")</f>
        <v>-SHR</v>
      </c>
      <c r="B225" s="228" t="str">
        <f ca="1">TEXT(IF(G225&lt;&gt; 0,OFFSET(INDIRECT(rtI.Anker2b),28,0),""),"@")</f>
        <v/>
      </c>
      <c r="C225" s="227" t="s">
        <v>9</v>
      </c>
      <c r="D225" s="227" t="s">
        <v>47</v>
      </c>
      <c r="E225" s="227" t="s">
        <v>37</v>
      </c>
      <c r="F225" s="227" t="s">
        <v>48</v>
      </c>
      <c r="G225" s="229">
        <f ca="1">OFFSET(INDIRECT(rtI.Anker2b),28,7)</f>
        <v>0</v>
      </c>
      <c r="H225" s="227" t="str">
        <f t="shared" ca="1" si="15"/>
        <v/>
      </c>
      <c r="I225" s="227" t="str">
        <f t="shared" ca="1" si="19"/>
        <v/>
      </c>
      <c r="J225" s="227" t="str">
        <f t="shared" ca="1" si="16"/>
        <v/>
      </c>
      <c r="K225" s="230" t="str">
        <f t="shared" ca="1" si="17"/>
        <v/>
      </c>
      <c r="L225" s="231" t="str">
        <f t="shared" ca="1" si="18"/>
        <v/>
      </c>
    </row>
    <row r="226" spans="1:12" x14ac:dyDescent="0.25">
      <c r="A226" s="227" t="str">
        <f>TEXT('1 Récapitulation'!$E$10 &amp; "-SHR","@")</f>
        <v>-SHR</v>
      </c>
      <c r="B226" s="228" t="str">
        <f ca="1">TEXT(IF(G226&lt;&gt; 0,OFFSET(INDIRECT(rtI.Anker2b),29,0),""),"@")</f>
        <v/>
      </c>
      <c r="C226" s="227" t="s">
        <v>9</v>
      </c>
      <c r="D226" s="227" t="s">
        <v>47</v>
      </c>
      <c r="E226" s="227" t="s">
        <v>37</v>
      </c>
      <c r="F226" s="227" t="s">
        <v>48</v>
      </c>
      <c r="G226" s="229">
        <f ca="1">OFFSET(INDIRECT(rtI.Anker2b),29,7)</f>
        <v>0</v>
      </c>
      <c r="H226" s="227" t="str">
        <f t="shared" ca="1" si="15"/>
        <v/>
      </c>
      <c r="I226" s="227" t="str">
        <f t="shared" ca="1" si="19"/>
        <v/>
      </c>
      <c r="J226" s="227" t="str">
        <f t="shared" ca="1" si="16"/>
        <v/>
      </c>
      <c r="K226" s="230" t="str">
        <f t="shared" ca="1" si="17"/>
        <v/>
      </c>
      <c r="L226" s="231" t="str">
        <f t="shared" ca="1" si="18"/>
        <v/>
      </c>
    </row>
    <row r="227" spans="1:12" x14ac:dyDescent="0.25">
      <c r="A227" s="227" t="str">
        <f>TEXT('1 Récapitulation'!$E$10 &amp; "-SHR","@")</f>
        <v>-SHR</v>
      </c>
      <c r="B227" s="228" t="str">
        <f ca="1">TEXT(IF(G227&lt;&gt; 0,OFFSET(INDIRECT(rtI.Anker2b),30,0),""),"@")</f>
        <v/>
      </c>
      <c r="C227" s="227" t="s">
        <v>9</v>
      </c>
      <c r="D227" s="227" t="s">
        <v>47</v>
      </c>
      <c r="E227" s="227" t="s">
        <v>37</v>
      </c>
      <c r="F227" s="227" t="s">
        <v>48</v>
      </c>
      <c r="G227" s="229">
        <f ca="1">OFFSET(INDIRECT(rtI.Anker2b),30,7)</f>
        <v>0</v>
      </c>
      <c r="H227" s="227" t="str">
        <f t="shared" ca="1" si="15"/>
        <v/>
      </c>
      <c r="I227" s="227" t="str">
        <f t="shared" ca="1" si="19"/>
        <v/>
      </c>
      <c r="J227" s="227" t="str">
        <f t="shared" ca="1" si="16"/>
        <v/>
      </c>
      <c r="K227" s="230" t="str">
        <f t="shared" ca="1" si="17"/>
        <v/>
      </c>
      <c r="L227" s="231" t="str">
        <f t="shared" ca="1" si="18"/>
        <v/>
      </c>
    </row>
    <row r="228" spans="1:12" x14ac:dyDescent="0.25">
      <c r="A228" s="227" t="str">
        <f>TEXT('1 Récapitulation'!$E$10 &amp; "-SHR","@")</f>
        <v>-SHR</v>
      </c>
      <c r="B228" s="228" t="str">
        <f ca="1">TEXT(IF(G228&lt;&gt; 0,OFFSET(INDIRECT(rtI.Anker2b),31,0),""),"@")</f>
        <v/>
      </c>
      <c r="C228" s="227" t="s">
        <v>9</v>
      </c>
      <c r="D228" s="227" t="s">
        <v>47</v>
      </c>
      <c r="E228" s="227" t="s">
        <v>37</v>
      </c>
      <c r="F228" s="227" t="s">
        <v>48</v>
      </c>
      <c r="G228" s="229">
        <f ca="1">OFFSET(INDIRECT(rtI.Anker2b),31,7)</f>
        <v>0</v>
      </c>
      <c r="H228" s="227" t="str">
        <f t="shared" ca="1" si="15"/>
        <v/>
      </c>
      <c r="I228" s="227" t="str">
        <f t="shared" ca="1" si="19"/>
        <v/>
      </c>
      <c r="J228" s="227" t="str">
        <f t="shared" ca="1" si="16"/>
        <v/>
      </c>
      <c r="K228" s="230" t="str">
        <f t="shared" ca="1" si="17"/>
        <v/>
      </c>
      <c r="L228" s="231" t="str">
        <f t="shared" ca="1" si="18"/>
        <v/>
      </c>
    </row>
    <row r="229" spans="1:12" x14ac:dyDescent="0.25">
      <c r="A229" s="227" t="str">
        <f>TEXT('1 Récapitulation'!$E$10 &amp; "-SHR","@")</f>
        <v>-SHR</v>
      </c>
      <c r="B229" s="228" t="str">
        <f ca="1">TEXT(IF(G229&lt;&gt; 0,OFFSET(INDIRECT(rtI.Anker2b),32,0),""),"@")</f>
        <v/>
      </c>
      <c r="C229" s="227" t="s">
        <v>9</v>
      </c>
      <c r="D229" s="227" t="s">
        <v>47</v>
      </c>
      <c r="E229" s="227" t="s">
        <v>37</v>
      </c>
      <c r="F229" s="227" t="s">
        <v>48</v>
      </c>
      <c r="G229" s="229">
        <f ca="1">OFFSET(INDIRECT(rtI.Anker2b),32,7)</f>
        <v>0</v>
      </c>
      <c r="H229" s="227" t="str">
        <f t="shared" ca="1" si="15"/>
        <v/>
      </c>
      <c r="I229" s="227" t="str">
        <f t="shared" ca="1" si="19"/>
        <v/>
      </c>
      <c r="J229" s="227" t="str">
        <f t="shared" ca="1" si="16"/>
        <v/>
      </c>
      <c r="K229" s="230" t="str">
        <f t="shared" ca="1" si="17"/>
        <v/>
      </c>
      <c r="L229" s="231" t="str">
        <f t="shared" ca="1" si="18"/>
        <v/>
      </c>
    </row>
    <row r="230" spans="1:12" x14ac:dyDescent="0.25">
      <c r="A230" s="227" t="str">
        <f>TEXT('1 Récapitulation'!$E$10 &amp; "-SHR","@")</f>
        <v>-SHR</v>
      </c>
      <c r="B230" s="228" t="str">
        <f ca="1">TEXT(IF(G230&lt;&gt; 0,OFFSET(INDIRECT(rtI.Anker2b),33,0),""),"@")</f>
        <v/>
      </c>
      <c r="C230" s="227" t="s">
        <v>9</v>
      </c>
      <c r="D230" s="227" t="s">
        <v>47</v>
      </c>
      <c r="E230" s="227" t="s">
        <v>37</v>
      </c>
      <c r="F230" s="227" t="s">
        <v>48</v>
      </c>
      <c r="G230" s="229">
        <f ca="1">OFFSET(INDIRECT(rtI.Anker2b),33,7)</f>
        <v>0</v>
      </c>
      <c r="H230" s="227" t="str">
        <f t="shared" ca="1" si="15"/>
        <v/>
      </c>
      <c r="I230" s="227" t="str">
        <f t="shared" ca="1" si="19"/>
        <v/>
      </c>
      <c r="J230" s="227" t="str">
        <f t="shared" ca="1" si="16"/>
        <v/>
      </c>
      <c r="K230" s="230" t="str">
        <f t="shared" ca="1" si="17"/>
        <v/>
      </c>
      <c r="L230" s="231" t="str">
        <f t="shared" ca="1" si="18"/>
        <v/>
      </c>
    </row>
    <row r="231" spans="1:12" x14ac:dyDescent="0.25">
      <c r="A231" s="227" t="str">
        <f>TEXT('1 Récapitulation'!$E$10 &amp; "-SHR","@")</f>
        <v>-SHR</v>
      </c>
      <c r="B231" s="228" t="str">
        <f ca="1">TEXT(IF(G231&lt;&gt; 0,OFFSET(INDIRECT(rtI.Anker2b),34,0),""),"@")</f>
        <v/>
      </c>
      <c r="C231" s="227" t="s">
        <v>9</v>
      </c>
      <c r="D231" s="227" t="s">
        <v>47</v>
      </c>
      <c r="E231" s="227" t="s">
        <v>37</v>
      </c>
      <c r="F231" s="227" t="s">
        <v>48</v>
      </c>
      <c r="G231" s="229">
        <f ca="1">OFFSET(INDIRECT(rtI.Anker2b),34,7)</f>
        <v>0</v>
      </c>
      <c r="H231" s="227" t="str">
        <f t="shared" ca="1" si="15"/>
        <v/>
      </c>
      <c r="I231" s="227" t="str">
        <f t="shared" ca="1" si="19"/>
        <v/>
      </c>
      <c r="J231" s="227" t="str">
        <f t="shared" ca="1" si="16"/>
        <v/>
      </c>
      <c r="K231" s="230" t="str">
        <f t="shared" ca="1" si="17"/>
        <v/>
      </c>
      <c r="L231" s="231" t="str">
        <f t="shared" ca="1" si="18"/>
        <v/>
      </c>
    </row>
    <row r="232" spans="1:12" x14ac:dyDescent="0.25">
      <c r="A232" s="227" t="str">
        <f>TEXT('1 Récapitulation'!$E$10 &amp; "-SHR","@")</f>
        <v>-SHR</v>
      </c>
      <c r="B232" s="228" t="str">
        <f ca="1">TEXT(IF(G232&lt;&gt; 0,OFFSET(INDIRECT(rtI.Anker2b),35,0),""),"@")</f>
        <v/>
      </c>
      <c r="C232" s="227" t="s">
        <v>9</v>
      </c>
      <c r="D232" s="227" t="s">
        <v>47</v>
      </c>
      <c r="E232" s="227" t="s">
        <v>37</v>
      </c>
      <c r="F232" s="227" t="s">
        <v>48</v>
      </c>
      <c r="G232" s="229">
        <f ca="1">OFFSET(INDIRECT(rtI.Anker2b),35,7)</f>
        <v>0</v>
      </c>
      <c r="H232" s="227" t="str">
        <f t="shared" ca="1" si="15"/>
        <v/>
      </c>
      <c r="I232" s="227" t="str">
        <f t="shared" ca="1" si="19"/>
        <v/>
      </c>
      <c r="J232" s="227" t="str">
        <f t="shared" ca="1" si="16"/>
        <v/>
      </c>
      <c r="K232" s="230" t="str">
        <f t="shared" ca="1" si="17"/>
        <v/>
      </c>
      <c r="L232" s="231" t="str">
        <f t="shared" ca="1" si="18"/>
        <v/>
      </c>
    </row>
    <row r="233" spans="1:12" x14ac:dyDescent="0.25">
      <c r="A233" s="227" t="str">
        <f>TEXT('1 Récapitulation'!$E$10 &amp; "-SHR","@")</f>
        <v>-SHR</v>
      </c>
      <c r="B233" s="228" t="str">
        <f ca="1">TEXT(IF(G233&lt;&gt; 0,OFFSET(INDIRECT(rtI.Anker2b),36,0),""),"@")</f>
        <v/>
      </c>
      <c r="C233" s="227" t="s">
        <v>9</v>
      </c>
      <c r="D233" s="227" t="s">
        <v>47</v>
      </c>
      <c r="E233" s="227" t="s">
        <v>37</v>
      </c>
      <c r="F233" s="227" t="s">
        <v>48</v>
      </c>
      <c r="G233" s="229">
        <f ca="1">OFFSET(INDIRECT(rtI.Anker2b),36,7)</f>
        <v>0</v>
      </c>
      <c r="H233" s="227" t="str">
        <f t="shared" ca="1" si="15"/>
        <v/>
      </c>
      <c r="I233" s="227" t="str">
        <f t="shared" ca="1" si="19"/>
        <v/>
      </c>
      <c r="J233" s="227" t="str">
        <f t="shared" ca="1" si="16"/>
        <v/>
      </c>
      <c r="K233" s="230" t="str">
        <f t="shared" ca="1" si="17"/>
        <v/>
      </c>
      <c r="L233" s="231" t="str">
        <f t="shared" ca="1" si="18"/>
        <v/>
      </c>
    </row>
    <row r="234" spans="1:12" x14ac:dyDescent="0.25">
      <c r="A234" s="227" t="str">
        <f>TEXT('1 Récapitulation'!$E$10 &amp; "-SHR","@")</f>
        <v>-SHR</v>
      </c>
      <c r="B234" s="228" t="str">
        <f ca="1">TEXT(IF(G234&lt;&gt; 0,OFFSET(INDIRECT(rtI.Anker2b),37,0),""),"@")</f>
        <v/>
      </c>
      <c r="C234" s="227" t="s">
        <v>9</v>
      </c>
      <c r="D234" s="227" t="s">
        <v>47</v>
      </c>
      <c r="E234" s="227" t="s">
        <v>37</v>
      </c>
      <c r="F234" s="227" t="s">
        <v>48</v>
      </c>
      <c r="G234" s="229">
        <f ca="1">OFFSET(INDIRECT(rtI.Anker2b),37,7)</f>
        <v>0</v>
      </c>
      <c r="H234" s="227" t="str">
        <f t="shared" ca="1" si="15"/>
        <v/>
      </c>
      <c r="I234" s="227" t="str">
        <f t="shared" ca="1" si="19"/>
        <v/>
      </c>
      <c r="J234" s="227" t="str">
        <f t="shared" ca="1" si="16"/>
        <v/>
      </c>
      <c r="K234" s="230" t="str">
        <f t="shared" ca="1" si="17"/>
        <v/>
      </c>
      <c r="L234" s="231" t="str">
        <f t="shared" ca="1" si="18"/>
        <v/>
      </c>
    </row>
    <row r="235" spans="1:12" x14ac:dyDescent="0.25">
      <c r="A235" s="227" t="str">
        <f>TEXT('1 Récapitulation'!$E$10 &amp; "-SHR","@")</f>
        <v>-SHR</v>
      </c>
      <c r="B235" s="228" t="str">
        <f ca="1">TEXT(IF(G235&lt;&gt; 0,OFFSET(INDIRECT(rtI.Anker2b),38,0),""),"@")</f>
        <v/>
      </c>
      <c r="C235" s="227" t="s">
        <v>9</v>
      </c>
      <c r="D235" s="227" t="s">
        <v>47</v>
      </c>
      <c r="E235" s="227" t="s">
        <v>37</v>
      </c>
      <c r="F235" s="227" t="s">
        <v>48</v>
      </c>
      <c r="G235" s="229">
        <f ca="1">OFFSET(INDIRECT(rtI.Anker2b),38,7)</f>
        <v>0</v>
      </c>
      <c r="H235" s="227" t="str">
        <f t="shared" ca="1" si="15"/>
        <v/>
      </c>
      <c r="I235" s="227" t="str">
        <f t="shared" ca="1" si="19"/>
        <v/>
      </c>
      <c r="J235" s="227" t="str">
        <f t="shared" ca="1" si="16"/>
        <v/>
      </c>
      <c r="K235" s="230" t="str">
        <f t="shared" ca="1" si="17"/>
        <v/>
      </c>
      <c r="L235" s="231" t="str">
        <f t="shared" ca="1" si="18"/>
        <v/>
      </c>
    </row>
    <row r="236" spans="1:12" x14ac:dyDescent="0.25">
      <c r="A236" s="227" t="str">
        <f>TEXT('1 Récapitulation'!$E$10 &amp; "-SHR","@")</f>
        <v>-SHR</v>
      </c>
      <c r="B236" s="228" t="str">
        <f ca="1">TEXT(IF(G236&lt;&gt; 0,OFFSET(INDIRECT(rtI.Anker2b),0,0),""),"@")</f>
        <v/>
      </c>
      <c r="C236" s="227" t="s">
        <v>9</v>
      </c>
      <c r="D236" s="227" t="s">
        <v>49</v>
      </c>
      <c r="E236" s="227" t="s">
        <v>37</v>
      </c>
      <c r="F236" s="227" t="s">
        <v>50</v>
      </c>
      <c r="G236" s="229">
        <f ca="1">OFFSET(INDIRECT(rtI.Anker2b),0,8)</f>
        <v>0</v>
      </c>
      <c r="H236" s="227" t="str">
        <f t="shared" ca="1" si="15"/>
        <v/>
      </c>
      <c r="I236" s="227" t="str">
        <f t="shared" ca="1" si="19"/>
        <v/>
      </c>
      <c r="J236" s="227" t="str">
        <f t="shared" ca="1" si="16"/>
        <v/>
      </c>
      <c r="K236" s="230" t="str">
        <f t="shared" ca="1" si="17"/>
        <v/>
      </c>
      <c r="L236" s="231" t="str">
        <f t="shared" ca="1" si="18"/>
        <v/>
      </c>
    </row>
    <row r="237" spans="1:12" x14ac:dyDescent="0.25">
      <c r="A237" s="227" t="str">
        <f>TEXT('1 Récapitulation'!$E$10 &amp; "-SHR","@")</f>
        <v>-SHR</v>
      </c>
      <c r="B237" s="228" t="str">
        <f ca="1">TEXT(IF(G237&lt;&gt; 0,OFFSET(INDIRECT(rtI.Anker2b),1,0),""),"@")</f>
        <v/>
      </c>
      <c r="C237" s="227" t="s">
        <v>9</v>
      </c>
      <c r="D237" s="227" t="s">
        <v>49</v>
      </c>
      <c r="E237" s="227" t="s">
        <v>37</v>
      </c>
      <c r="F237" s="227" t="s">
        <v>50</v>
      </c>
      <c r="G237" s="229">
        <f ca="1">OFFSET(INDIRECT(rtI.Anker2b),1,8)</f>
        <v>0</v>
      </c>
      <c r="H237" s="227" t="str">
        <f t="shared" ca="1" si="15"/>
        <v/>
      </c>
      <c r="I237" s="227" t="str">
        <f t="shared" ca="1" si="19"/>
        <v/>
      </c>
      <c r="J237" s="227" t="str">
        <f t="shared" ca="1" si="16"/>
        <v/>
      </c>
      <c r="K237" s="230" t="str">
        <f t="shared" ca="1" si="17"/>
        <v/>
      </c>
      <c r="L237" s="231" t="str">
        <f t="shared" ca="1" si="18"/>
        <v/>
      </c>
    </row>
    <row r="238" spans="1:12" x14ac:dyDescent="0.25">
      <c r="A238" s="227" t="str">
        <f>TEXT('1 Récapitulation'!$E$10 &amp; "-SHR","@")</f>
        <v>-SHR</v>
      </c>
      <c r="B238" s="228" t="str">
        <f ca="1">TEXT(IF(G238&lt;&gt; 0,OFFSET(INDIRECT(rtI.Anker2b),2,0),""),"@")</f>
        <v/>
      </c>
      <c r="C238" s="227" t="s">
        <v>9</v>
      </c>
      <c r="D238" s="227" t="s">
        <v>49</v>
      </c>
      <c r="E238" s="227" t="s">
        <v>37</v>
      </c>
      <c r="F238" s="227" t="s">
        <v>50</v>
      </c>
      <c r="G238" s="229">
        <f ca="1">OFFSET(INDIRECT(rtI.Anker2b),2,8)</f>
        <v>0</v>
      </c>
      <c r="H238" s="227" t="str">
        <f t="shared" ca="1" si="15"/>
        <v/>
      </c>
      <c r="I238" s="227" t="str">
        <f t="shared" ca="1" si="19"/>
        <v/>
      </c>
      <c r="J238" s="227" t="str">
        <f t="shared" ca="1" si="16"/>
        <v/>
      </c>
      <c r="K238" s="230" t="str">
        <f t="shared" ca="1" si="17"/>
        <v/>
      </c>
      <c r="L238" s="231" t="str">
        <f t="shared" ca="1" si="18"/>
        <v/>
      </c>
    </row>
    <row r="239" spans="1:12" x14ac:dyDescent="0.25">
      <c r="A239" s="227" t="str">
        <f>TEXT('1 Récapitulation'!$E$10 &amp; "-SHR","@")</f>
        <v>-SHR</v>
      </c>
      <c r="B239" s="228" t="str">
        <f ca="1">TEXT(IF(G239&lt;&gt; 0,OFFSET(INDIRECT(rtI.Anker2b),3,0),""),"@")</f>
        <v/>
      </c>
      <c r="C239" s="227" t="s">
        <v>9</v>
      </c>
      <c r="D239" s="227" t="s">
        <v>49</v>
      </c>
      <c r="E239" s="227" t="s">
        <v>37</v>
      </c>
      <c r="F239" s="227" t="s">
        <v>50</v>
      </c>
      <c r="G239" s="229">
        <f ca="1">OFFSET(INDIRECT(rtI.Anker2b),3,8)</f>
        <v>0</v>
      </c>
      <c r="H239" s="227" t="str">
        <f t="shared" ca="1" si="15"/>
        <v/>
      </c>
      <c r="I239" s="227" t="str">
        <f t="shared" ca="1" si="19"/>
        <v/>
      </c>
      <c r="J239" s="227" t="str">
        <f t="shared" ca="1" si="16"/>
        <v/>
      </c>
      <c r="K239" s="230" t="str">
        <f t="shared" ca="1" si="17"/>
        <v/>
      </c>
      <c r="L239" s="231" t="str">
        <f t="shared" ca="1" si="18"/>
        <v/>
      </c>
    </row>
    <row r="240" spans="1:12" x14ac:dyDescent="0.25">
      <c r="A240" s="227" t="str">
        <f>TEXT('1 Récapitulation'!$E$10 &amp; "-SHR","@")</f>
        <v>-SHR</v>
      </c>
      <c r="B240" s="228" t="str">
        <f ca="1">TEXT(IF(G240&lt;&gt; 0,OFFSET(INDIRECT(rtI.Anker2b),4,0),""),"@")</f>
        <v/>
      </c>
      <c r="C240" s="227" t="s">
        <v>9</v>
      </c>
      <c r="D240" s="227" t="s">
        <v>49</v>
      </c>
      <c r="E240" s="227" t="s">
        <v>37</v>
      </c>
      <c r="F240" s="227" t="s">
        <v>50</v>
      </c>
      <c r="G240" s="229">
        <f ca="1">OFFSET(INDIRECT(rtI.Anker2b),4,8)</f>
        <v>0</v>
      </c>
      <c r="H240" s="227" t="str">
        <f t="shared" ca="1" si="15"/>
        <v/>
      </c>
      <c r="I240" s="227" t="str">
        <f t="shared" ca="1" si="19"/>
        <v/>
      </c>
      <c r="J240" s="227" t="str">
        <f t="shared" ca="1" si="16"/>
        <v/>
      </c>
      <c r="K240" s="230" t="str">
        <f t="shared" ca="1" si="17"/>
        <v/>
      </c>
      <c r="L240" s="231" t="str">
        <f t="shared" ca="1" si="18"/>
        <v/>
      </c>
    </row>
    <row r="241" spans="1:12" x14ac:dyDescent="0.25">
      <c r="A241" s="227" t="str">
        <f>TEXT('1 Récapitulation'!$E$10 &amp; "-SHR","@")</f>
        <v>-SHR</v>
      </c>
      <c r="B241" s="228" t="str">
        <f ca="1">TEXT(IF(G241&lt;&gt; 0,OFFSET(INDIRECT(rtI.Anker2b),5,0),""),"@")</f>
        <v/>
      </c>
      <c r="C241" s="227" t="s">
        <v>9</v>
      </c>
      <c r="D241" s="227" t="s">
        <v>49</v>
      </c>
      <c r="E241" s="227" t="s">
        <v>37</v>
      </c>
      <c r="F241" s="227" t="s">
        <v>50</v>
      </c>
      <c r="G241" s="229">
        <f ca="1">OFFSET(INDIRECT(rtI.Anker2b),5,8)</f>
        <v>0</v>
      </c>
      <c r="H241" s="227" t="str">
        <f t="shared" ca="1" si="15"/>
        <v/>
      </c>
      <c r="I241" s="227" t="str">
        <f t="shared" ca="1" si="19"/>
        <v/>
      </c>
      <c r="J241" s="227" t="str">
        <f t="shared" ca="1" si="16"/>
        <v/>
      </c>
      <c r="K241" s="230" t="str">
        <f t="shared" ca="1" si="17"/>
        <v/>
      </c>
      <c r="L241" s="231" t="str">
        <f t="shared" ca="1" si="18"/>
        <v/>
      </c>
    </row>
    <row r="242" spans="1:12" x14ac:dyDescent="0.25">
      <c r="A242" s="227" t="str">
        <f>TEXT('1 Récapitulation'!$E$10 &amp; "-SHR","@")</f>
        <v>-SHR</v>
      </c>
      <c r="B242" s="228" t="str">
        <f ca="1">TEXT(IF(G242&lt;&gt; 0,OFFSET(INDIRECT(rtI.Anker2b),6,0),""),"@")</f>
        <v/>
      </c>
      <c r="C242" s="227" t="s">
        <v>9</v>
      </c>
      <c r="D242" s="227" t="s">
        <v>49</v>
      </c>
      <c r="E242" s="227" t="s">
        <v>37</v>
      </c>
      <c r="F242" s="227" t="s">
        <v>50</v>
      </c>
      <c r="G242" s="229">
        <f ca="1">OFFSET(INDIRECT(rtI.Anker2b),6,8)</f>
        <v>0</v>
      </c>
      <c r="H242" s="227" t="str">
        <f t="shared" ca="1" si="15"/>
        <v/>
      </c>
      <c r="I242" s="227" t="str">
        <f t="shared" ca="1" si="19"/>
        <v/>
      </c>
      <c r="J242" s="227" t="str">
        <f t="shared" ca="1" si="16"/>
        <v/>
      </c>
      <c r="K242" s="230" t="str">
        <f t="shared" ca="1" si="17"/>
        <v/>
      </c>
      <c r="L242" s="231" t="str">
        <f t="shared" ca="1" si="18"/>
        <v/>
      </c>
    </row>
    <row r="243" spans="1:12" x14ac:dyDescent="0.25">
      <c r="A243" s="227" t="str">
        <f>TEXT('1 Récapitulation'!$E$10 &amp; "-SHR","@")</f>
        <v>-SHR</v>
      </c>
      <c r="B243" s="228" t="str">
        <f ca="1">TEXT(IF(G243&lt;&gt; 0,OFFSET(INDIRECT(rtI.Anker2b),7,0),""),"@")</f>
        <v/>
      </c>
      <c r="C243" s="227" t="s">
        <v>9</v>
      </c>
      <c r="D243" s="227" t="s">
        <v>49</v>
      </c>
      <c r="E243" s="227" t="s">
        <v>37</v>
      </c>
      <c r="F243" s="227" t="s">
        <v>50</v>
      </c>
      <c r="G243" s="229">
        <f ca="1">OFFSET(INDIRECT(rtI.Anker2b),7,8)</f>
        <v>0</v>
      </c>
      <c r="H243" s="227" t="str">
        <f t="shared" ca="1" si="15"/>
        <v/>
      </c>
      <c r="I243" s="227" t="str">
        <f t="shared" ca="1" si="19"/>
        <v/>
      </c>
      <c r="J243" s="227" t="str">
        <f t="shared" ca="1" si="16"/>
        <v/>
      </c>
      <c r="K243" s="230" t="str">
        <f t="shared" ca="1" si="17"/>
        <v/>
      </c>
      <c r="L243" s="231" t="str">
        <f t="shared" ca="1" si="18"/>
        <v/>
      </c>
    </row>
    <row r="244" spans="1:12" x14ac:dyDescent="0.25">
      <c r="A244" s="227" t="str">
        <f>TEXT('1 Récapitulation'!$E$10 &amp; "-SHR","@")</f>
        <v>-SHR</v>
      </c>
      <c r="B244" s="228" t="str">
        <f ca="1">TEXT(IF(G244&lt;&gt; 0,OFFSET(INDIRECT(rtI.Anker2b),8,0),""),"@")</f>
        <v/>
      </c>
      <c r="C244" s="227" t="s">
        <v>9</v>
      </c>
      <c r="D244" s="227" t="s">
        <v>49</v>
      </c>
      <c r="E244" s="227" t="s">
        <v>37</v>
      </c>
      <c r="F244" s="227" t="s">
        <v>50</v>
      </c>
      <c r="G244" s="229">
        <f ca="1">OFFSET(INDIRECT(rtI.Anker2b),8,8)</f>
        <v>0</v>
      </c>
      <c r="H244" s="227" t="str">
        <f t="shared" ca="1" si="15"/>
        <v/>
      </c>
      <c r="I244" s="227" t="str">
        <f t="shared" ca="1" si="19"/>
        <v/>
      </c>
      <c r="J244" s="227" t="str">
        <f t="shared" ca="1" si="16"/>
        <v/>
      </c>
      <c r="K244" s="230" t="str">
        <f t="shared" ca="1" si="17"/>
        <v/>
      </c>
      <c r="L244" s="231" t="str">
        <f t="shared" ca="1" si="18"/>
        <v/>
      </c>
    </row>
    <row r="245" spans="1:12" x14ac:dyDescent="0.25">
      <c r="A245" s="227" t="str">
        <f>TEXT('1 Récapitulation'!$E$10 &amp; "-SHR","@")</f>
        <v>-SHR</v>
      </c>
      <c r="B245" s="228" t="str">
        <f ca="1">TEXT(IF(G245&lt;&gt; 0,OFFSET(INDIRECT(rtI.Anker2b),9,0),""),"@")</f>
        <v/>
      </c>
      <c r="C245" s="227" t="s">
        <v>9</v>
      </c>
      <c r="D245" s="227" t="s">
        <v>49</v>
      </c>
      <c r="E245" s="227" t="s">
        <v>37</v>
      </c>
      <c r="F245" s="227" t="s">
        <v>50</v>
      </c>
      <c r="G245" s="229">
        <f ca="1">OFFSET(INDIRECT(rtI.Anker2b),9,8)</f>
        <v>0</v>
      </c>
      <c r="H245" s="227" t="str">
        <f t="shared" ca="1" si="15"/>
        <v/>
      </c>
      <c r="I245" s="227" t="str">
        <f t="shared" ca="1" si="19"/>
        <v/>
      </c>
      <c r="J245" s="227" t="str">
        <f t="shared" ca="1" si="16"/>
        <v/>
      </c>
      <c r="K245" s="230" t="str">
        <f t="shared" ca="1" si="17"/>
        <v/>
      </c>
      <c r="L245" s="231" t="str">
        <f t="shared" ca="1" si="18"/>
        <v/>
      </c>
    </row>
    <row r="246" spans="1:12" x14ac:dyDescent="0.25">
      <c r="A246" s="227" t="str">
        <f>TEXT('1 Récapitulation'!$E$10 &amp; "-SHR","@")</f>
        <v>-SHR</v>
      </c>
      <c r="B246" s="228" t="str">
        <f ca="1">TEXT(IF(G246&lt;&gt; 0,OFFSET(INDIRECT(rtI.Anker2b),10,0),""),"@")</f>
        <v/>
      </c>
      <c r="C246" s="227" t="s">
        <v>9</v>
      </c>
      <c r="D246" s="227" t="s">
        <v>49</v>
      </c>
      <c r="E246" s="227" t="s">
        <v>37</v>
      </c>
      <c r="F246" s="227" t="s">
        <v>50</v>
      </c>
      <c r="G246" s="229">
        <f ca="1">OFFSET(INDIRECT(rtI.Anker2b),10,8)</f>
        <v>0</v>
      </c>
      <c r="H246" s="227" t="str">
        <f t="shared" ca="1" si="15"/>
        <v/>
      </c>
      <c r="I246" s="227" t="str">
        <f t="shared" ca="1" si="19"/>
        <v/>
      </c>
      <c r="J246" s="227" t="str">
        <f t="shared" ca="1" si="16"/>
        <v/>
      </c>
      <c r="K246" s="230" t="str">
        <f t="shared" ca="1" si="17"/>
        <v/>
      </c>
      <c r="L246" s="231" t="str">
        <f t="shared" ca="1" si="18"/>
        <v/>
      </c>
    </row>
    <row r="247" spans="1:12" x14ac:dyDescent="0.25">
      <c r="A247" s="227" t="str">
        <f>TEXT('1 Récapitulation'!$E$10 &amp; "-SHR","@")</f>
        <v>-SHR</v>
      </c>
      <c r="B247" s="228" t="str">
        <f ca="1">TEXT(IF(G247&lt;&gt; 0,OFFSET(INDIRECT(rtI.Anker2b),11,0),""),"@")</f>
        <v/>
      </c>
      <c r="C247" s="227" t="s">
        <v>9</v>
      </c>
      <c r="D247" s="227" t="s">
        <v>49</v>
      </c>
      <c r="E247" s="227" t="s">
        <v>37</v>
      </c>
      <c r="F247" s="227" t="s">
        <v>50</v>
      </c>
      <c r="G247" s="229">
        <f ca="1">OFFSET(INDIRECT(rtI.Anker2b),11,8)</f>
        <v>0</v>
      </c>
      <c r="H247" s="227" t="str">
        <f t="shared" ca="1" si="15"/>
        <v/>
      </c>
      <c r="I247" s="227" t="str">
        <f t="shared" ca="1" si="19"/>
        <v/>
      </c>
      <c r="J247" s="227" t="str">
        <f t="shared" ca="1" si="16"/>
        <v/>
      </c>
      <c r="K247" s="230" t="str">
        <f t="shared" ca="1" si="17"/>
        <v/>
      </c>
      <c r="L247" s="231" t="str">
        <f t="shared" ca="1" si="18"/>
        <v/>
      </c>
    </row>
    <row r="248" spans="1:12" x14ac:dyDescent="0.25">
      <c r="A248" s="227" t="str">
        <f>TEXT('1 Récapitulation'!$E$10 &amp; "-SHR","@")</f>
        <v>-SHR</v>
      </c>
      <c r="B248" s="228" t="str">
        <f ca="1">TEXT(IF(G248&lt;&gt; 0,OFFSET(INDIRECT(rtI.Anker2b),12,0),""),"@")</f>
        <v/>
      </c>
      <c r="C248" s="227" t="s">
        <v>9</v>
      </c>
      <c r="D248" s="227" t="s">
        <v>49</v>
      </c>
      <c r="E248" s="227" t="s">
        <v>37</v>
      </c>
      <c r="F248" s="227" t="s">
        <v>50</v>
      </c>
      <c r="G248" s="229">
        <f ca="1">OFFSET(INDIRECT(rtI.Anker2b),12,8)</f>
        <v>0</v>
      </c>
      <c r="H248" s="227" t="str">
        <f t="shared" ca="1" si="15"/>
        <v/>
      </c>
      <c r="I248" s="227" t="str">
        <f t="shared" ca="1" si="19"/>
        <v/>
      </c>
      <c r="J248" s="227" t="str">
        <f t="shared" ca="1" si="16"/>
        <v/>
      </c>
      <c r="K248" s="230" t="str">
        <f t="shared" ca="1" si="17"/>
        <v/>
      </c>
      <c r="L248" s="231" t="str">
        <f t="shared" ca="1" si="18"/>
        <v/>
      </c>
    </row>
    <row r="249" spans="1:12" x14ac:dyDescent="0.25">
      <c r="A249" s="227" t="str">
        <f>TEXT('1 Récapitulation'!$E$10 &amp; "-SHR","@")</f>
        <v>-SHR</v>
      </c>
      <c r="B249" s="228" t="str">
        <f ca="1">TEXT(IF(G249&lt;&gt; 0,OFFSET(INDIRECT(rtI.Anker2b),13,0),""),"@")</f>
        <v/>
      </c>
      <c r="C249" s="227" t="s">
        <v>9</v>
      </c>
      <c r="D249" s="227" t="s">
        <v>49</v>
      </c>
      <c r="E249" s="227" t="s">
        <v>37</v>
      </c>
      <c r="F249" s="227" t="s">
        <v>50</v>
      </c>
      <c r="G249" s="229">
        <f ca="1">OFFSET(INDIRECT(rtI.Anker2b),13,8)</f>
        <v>0</v>
      </c>
      <c r="H249" s="227" t="str">
        <f t="shared" ca="1" si="15"/>
        <v/>
      </c>
      <c r="I249" s="227" t="str">
        <f t="shared" ca="1" si="19"/>
        <v/>
      </c>
      <c r="J249" s="227" t="str">
        <f t="shared" ca="1" si="16"/>
        <v/>
      </c>
      <c r="K249" s="230" t="str">
        <f t="shared" ca="1" si="17"/>
        <v/>
      </c>
      <c r="L249" s="231" t="str">
        <f t="shared" ca="1" si="18"/>
        <v/>
      </c>
    </row>
    <row r="250" spans="1:12" x14ac:dyDescent="0.25">
      <c r="A250" s="227" t="str">
        <f>TEXT('1 Récapitulation'!$E$10 &amp; "-SHR","@")</f>
        <v>-SHR</v>
      </c>
      <c r="B250" s="228" t="str">
        <f ca="1">TEXT(IF(G250&lt;&gt; 0,OFFSET(INDIRECT(rtI.Anker2b),14,0),""),"@")</f>
        <v/>
      </c>
      <c r="C250" s="227" t="s">
        <v>9</v>
      </c>
      <c r="D250" s="227" t="s">
        <v>49</v>
      </c>
      <c r="E250" s="227" t="s">
        <v>37</v>
      </c>
      <c r="F250" s="227" t="s">
        <v>50</v>
      </c>
      <c r="G250" s="229">
        <f ca="1">OFFSET(INDIRECT(rtI.Anker2b),14,8)</f>
        <v>0</v>
      </c>
      <c r="H250" s="227" t="str">
        <f t="shared" ca="1" si="15"/>
        <v/>
      </c>
      <c r="I250" s="227" t="str">
        <f t="shared" ca="1" si="19"/>
        <v/>
      </c>
      <c r="J250" s="227" t="str">
        <f t="shared" ca="1" si="16"/>
        <v/>
      </c>
      <c r="K250" s="230" t="str">
        <f t="shared" ca="1" si="17"/>
        <v/>
      </c>
      <c r="L250" s="231" t="str">
        <f t="shared" ca="1" si="18"/>
        <v/>
      </c>
    </row>
    <row r="251" spans="1:12" x14ac:dyDescent="0.25">
      <c r="A251" s="227" t="str">
        <f>TEXT('1 Récapitulation'!$E$10 &amp; "-SHR","@")</f>
        <v>-SHR</v>
      </c>
      <c r="B251" s="228" t="str">
        <f ca="1">TEXT(IF(G251&lt;&gt; 0,OFFSET(INDIRECT(rtI.Anker2b),15,0),""),"@")</f>
        <v/>
      </c>
      <c r="C251" s="227" t="s">
        <v>9</v>
      </c>
      <c r="D251" s="227" t="s">
        <v>49</v>
      </c>
      <c r="E251" s="227" t="s">
        <v>37</v>
      </c>
      <c r="F251" s="227" t="s">
        <v>50</v>
      </c>
      <c r="G251" s="229">
        <f ca="1">OFFSET(INDIRECT(rtI.Anker2b),15,8)</f>
        <v>0</v>
      </c>
      <c r="H251" s="227" t="str">
        <f t="shared" ca="1" si="15"/>
        <v/>
      </c>
      <c r="I251" s="227" t="str">
        <f t="shared" ca="1" si="19"/>
        <v/>
      </c>
      <c r="J251" s="227" t="str">
        <f t="shared" ca="1" si="16"/>
        <v/>
      </c>
      <c r="K251" s="230" t="str">
        <f t="shared" ca="1" si="17"/>
        <v/>
      </c>
      <c r="L251" s="231" t="str">
        <f t="shared" ca="1" si="18"/>
        <v/>
      </c>
    </row>
    <row r="252" spans="1:12" x14ac:dyDescent="0.25">
      <c r="A252" s="227" t="str">
        <f>TEXT('1 Récapitulation'!$E$10 &amp; "-SHR","@")</f>
        <v>-SHR</v>
      </c>
      <c r="B252" s="228" t="str">
        <f ca="1">TEXT(IF(G252&lt;&gt; 0,OFFSET(INDIRECT(rtI.Anker2b),16,0),""),"@")</f>
        <v/>
      </c>
      <c r="C252" s="227" t="s">
        <v>9</v>
      </c>
      <c r="D252" s="227" t="s">
        <v>49</v>
      </c>
      <c r="E252" s="227" t="s">
        <v>37</v>
      </c>
      <c r="F252" s="227" t="s">
        <v>50</v>
      </c>
      <c r="G252" s="229">
        <f ca="1">OFFSET(INDIRECT(rtI.Anker2b),16,8)</f>
        <v>0</v>
      </c>
      <c r="H252" s="227" t="str">
        <f t="shared" ca="1" si="15"/>
        <v/>
      </c>
      <c r="I252" s="227" t="str">
        <f t="shared" ca="1" si="19"/>
        <v/>
      </c>
      <c r="J252" s="227" t="str">
        <f t="shared" ca="1" si="16"/>
        <v/>
      </c>
      <c r="K252" s="230" t="str">
        <f t="shared" ca="1" si="17"/>
        <v/>
      </c>
      <c r="L252" s="231" t="str">
        <f t="shared" ca="1" si="18"/>
        <v/>
      </c>
    </row>
    <row r="253" spans="1:12" x14ac:dyDescent="0.25">
      <c r="A253" s="227" t="str">
        <f>TEXT('1 Récapitulation'!$E$10 &amp; "-SHR","@")</f>
        <v>-SHR</v>
      </c>
      <c r="B253" s="228" t="str">
        <f ca="1">TEXT(IF(G253&lt;&gt; 0,OFFSET(INDIRECT(rtI.Anker2b),17,0),""),"@")</f>
        <v/>
      </c>
      <c r="C253" s="227" t="s">
        <v>9</v>
      </c>
      <c r="D253" s="227" t="s">
        <v>49</v>
      </c>
      <c r="E253" s="227" t="s">
        <v>37</v>
      </c>
      <c r="F253" s="227" t="s">
        <v>50</v>
      </c>
      <c r="G253" s="229">
        <f ca="1">OFFSET(INDIRECT(rtI.Anker2b),17,8)</f>
        <v>0</v>
      </c>
      <c r="H253" s="227" t="str">
        <f t="shared" ca="1" si="15"/>
        <v/>
      </c>
      <c r="I253" s="227" t="str">
        <f t="shared" ca="1" si="19"/>
        <v/>
      </c>
      <c r="J253" s="227" t="str">
        <f t="shared" ca="1" si="16"/>
        <v/>
      </c>
      <c r="K253" s="230" t="str">
        <f t="shared" ca="1" si="17"/>
        <v/>
      </c>
      <c r="L253" s="231" t="str">
        <f t="shared" ca="1" si="18"/>
        <v/>
      </c>
    </row>
    <row r="254" spans="1:12" x14ac:dyDescent="0.25">
      <c r="A254" s="227" t="str">
        <f>TEXT('1 Récapitulation'!$E$10 &amp; "-SHR","@")</f>
        <v>-SHR</v>
      </c>
      <c r="B254" s="228" t="str">
        <f ca="1">TEXT(IF(G254&lt;&gt; 0,OFFSET(INDIRECT(rtI.Anker2b),18,0),""),"@")</f>
        <v/>
      </c>
      <c r="C254" s="227" t="s">
        <v>9</v>
      </c>
      <c r="D254" s="227" t="s">
        <v>49</v>
      </c>
      <c r="E254" s="227" t="s">
        <v>37</v>
      </c>
      <c r="F254" s="227" t="s">
        <v>50</v>
      </c>
      <c r="G254" s="229">
        <f ca="1">OFFSET(INDIRECT(rtI.Anker2b),18,8)</f>
        <v>0</v>
      </c>
      <c r="H254" s="227" t="str">
        <f t="shared" ca="1" si="15"/>
        <v/>
      </c>
      <c r="I254" s="227" t="str">
        <f t="shared" ca="1" si="19"/>
        <v/>
      </c>
      <c r="J254" s="227" t="str">
        <f t="shared" ca="1" si="16"/>
        <v/>
      </c>
      <c r="K254" s="230" t="str">
        <f t="shared" ca="1" si="17"/>
        <v/>
      </c>
      <c r="L254" s="231" t="str">
        <f t="shared" ca="1" si="18"/>
        <v/>
      </c>
    </row>
    <row r="255" spans="1:12" x14ac:dyDescent="0.25">
      <c r="A255" s="227" t="str">
        <f>TEXT('1 Récapitulation'!$E$10 &amp; "-SHR","@")</f>
        <v>-SHR</v>
      </c>
      <c r="B255" s="228" t="str">
        <f ca="1">TEXT(IF(G255&lt;&gt; 0,OFFSET(INDIRECT(rtI.Anker2b),19,0),""),"@")</f>
        <v/>
      </c>
      <c r="C255" s="227" t="s">
        <v>9</v>
      </c>
      <c r="D255" s="227" t="s">
        <v>49</v>
      </c>
      <c r="E255" s="227" t="s">
        <v>37</v>
      </c>
      <c r="F255" s="227" t="s">
        <v>50</v>
      </c>
      <c r="G255" s="229">
        <f ca="1">OFFSET(INDIRECT(rtI.Anker2b),19,8)</f>
        <v>0</v>
      </c>
      <c r="H255" s="227" t="str">
        <f t="shared" ca="1" si="15"/>
        <v/>
      </c>
      <c r="I255" s="227" t="str">
        <f t="shared" ca="1" si="19"/>
        <v/>
      </c>
      <c r="J255" s="227" t="str">
        <f t="shared" ca="1" si="16"/>
        <v/>
      </c>
      <c r="K255" s="230" t="str">
        <f t="shared" ca="1" si="17"/>
        <v/>
      </c>
      <c r="L255" s="231" t="str">
        <f t="shared" ca="1" si="18"/>
        <v/>
      </c>
    </row>
    <row r="256" spans="1:12" x14ac:dyDescent="0.25">
      <c r="A256" s="227" t="str">
        <f>TEXT('1 Récapitulation'!$E$10 &amp; "-SHR","@")</f>
        <v>-SHR</v>
      </c>
      <c r="B256" s="228" t="str">
        <f ca="1">TEXT(IF(G256&lt;&gt; 0,OFFSET(INDIRECT(rtI.Anker2b),20,0),""),"@")</f>
        <v/>
      </c>
      <c r="C256" s="227" t="s">
        <v>9</v>
      </c>
      <c r="D256" s="227" t="s">
        <v>49</v>
      </c>
      <c r="E256" s="227" t="s">
        <v>37</v>
      </c>
      <c r="F256" s="227" t="s">
        <v>50</v>
      </c>
      <c r="G256" s="229">
        <f ca="1">OFFSET(INDIRECT(rtI.Anker2b),20,8)</f>
        <v>0</v>
      </c>
      <c r="H256" s="227" t="str">
        <f t="shared" ca="1" si="15"/>
        <v/>
      </c>
      <c r="I256" s="227" t="str">
        <f t="shared" ca="1" si="19"/>
        <v/>
      </c>
      <c r="J256" s="227" t="str">
        <f t="shared" ca="1" si="16"/>
        <v/>
      </c>
      <c r="K256" s="230" t="str">
        <f t="shared" ca="1" si="17"/>
        <v/>
      </c>
      <c r="L256" s="231" t="str">
        <f t="shared" ca="1" si="18"/>
        <v/>
      </c>
    </row>
    <row r="257" spans="1:12" x14ac:dyDescent="0.25">
      <c r="A257" s="227" t="str">
        <f>TEXT('1 Récapitulation'!$E$10 &amp; "-SHR","@")</f>
        <v>-SHR</v>
      </c>
      <c r="B257" s="228" t="str">
        <f ca="1">TEXT(IF(G257&lt;&gt; 0,OFFSET(INDIRECT(rtI.Anker2b),21,0),""),"@")</f>
        <v/>
      </c>
      <c r="C257" s="227" t="s">
        <v>9</v>
      </c>
      <c r="D257" s="227" t="s">
        <v>49</v>
      </c>
      <c r="E257" s="227" t="s">
        <v>37</v>
      </c>
      <c r="F257" s="227" t="s">
        <v>50</v>
      </c>
      <c r="G257" s="229">
        <f ca="1">OFFSET(INDIRECT(rtI.Anker2b),21,8)</f>
        <v>0</v>
      </c>
      <c r="H257" s="227" t="str">
        <f t="shared" ca="1" si="15"/>
        <v/>
      </c>
      <c r="I257" s="227" t="str">
        <f t="shared" ca="1" si="19"/>
        <v/>
      </c>
      <c r="J257" s="227" t="str">
        <f t="shared" ca="1" si="16"/>
        <v/>
      </c>
      <c r="K257" s="230" t="str">
        <f t="shared" ca="1" si="17"/>
        <v/>
      </c>
      <c r="L257" s="231" t="str">
        <f t="shared" ca="1" si="18"/>
        <v/>
      </c>
    </row>
    <row r="258" spans="1:12" x14ac:dyDescent="0.25">
      <c r="A258" s="227" t="str">
        <f>TEXT('1 Récapitulation'!$E$10 &amp; "-SHR","@")</f>
        <v>-SHR</v>
      </c>
      <c r="B258" s="228" t="str">
        <f ca="1">TEXT(IF(G258&lt;&gt; 0,OFFSET(INDIRECT(rtI.Anker2b),22,0),""),"@")</f>
        <v/>
      </c>
      <c r="C258" s="227" t="s">
        <v>9</v>
      </c>
      <c r="D258" s="227" t="s">
        <v>49</v>
      </c>
      <c r="E258" s="227" t="s">
        <v>37</v>
      </c>
      <c r="F258" s="227" t="s">
        <v>50</v>
      </c>
      <c r="G258" s="229">
        <f ca="1">OFFSET(INDIRECT(rtI.Anker2b),22,8)</f>
        <v>0</v>
      </c>
      <c r="H258" s="227" t="str">
        <f t="shared" ref="H258:H321" ca="1" si="20">IF(G258&lt;&gt;0,IF(F258="1000","Aufwand",IF(OR(F258="1001",F258="1002",F258="1003",F258="1004",F258="1004",F258="1005",F258="1006"),"Ertrag","")),"")</f>
        <v/>
      </c>
      <c r="I258" s="227" t="str">
        <f t="shared" ca="1" si="19"/>
        <v/>
      </c>
      <c r="J258" s="227" t="str">
        <f t="shared" ref="J258:J321" ca="1" si="21">IF(H258="Aufwand","Total Aufwand",IF(H258="Ertrag","Total Ertrag",""))</f>
        <v/>
      </c>
      <c r="K258" s="230" t="str">
        <f t="shared" ref="K258:K321" ca="1" si="22">IF(H258&lt;&gt;"","999999999.99","")</f>
        <v/>
      </c>
      <c r="L258" s="231" t="str">
        <f t="shared" ref="L258:L321" ca="1" si="23">IF(H258="Aufwand","900",IF(H258="Ertrag","901",""))</f>
        <v/>
      </c>
    </row>
    <row r="259" spans="1:12" x14ac:dyDescent="0.25">
      <c r="A259" s="227" t="str">
        <f>TEXT('1 Récapitulation'!$E$10 &amp; "-SHR","@")</f>
        <v>-SHR</v>
      </c>
      <c r="B259" s="228" t="str">
        <f ca="1">TEXT(IF(G259&lt;&gt; 0,OFFSET(INDIRECT(rtI.Anker2b),23,0),""),"@")</f>
        <v/>
      </c>
      <c r="C259" s="227" t="s">
        <v>9</v>
      </c>
      <c r="D259" s="227" t="s">
        <v>49</v>
      </c>
      <c r="E259" s="227" t="s">
        <v>37</v>
      </c>
      <c r="F259" s="227" t="s">
        <v>50</v>
      </c>
      <c r="G259" s="229">
        <f ca="1">OFFSET(INDIRECT(rtI.Anker2b),23,8)</f>
        <v>0</v>
      </c>
      <c r="H259" s="227" t="str">
        <f t="shared" ca="1" si="20"/>
        <v/>
      </c>
      <c r="I259" s="227" t="str">
        <f t="shared" ref="I259:I322" ca="1" si="24">IF(H259&lt;&gt;"","Total","")</f>
        <v/>
      </c>
      <c r="J259" s="227" t="str">
        <f t="shared" ca="1" si="21"/>
        <v/>
      </c>
      <c r="K259" s="230" t="str">
        <f t="shared" ca="1" si="22"/>
        <v/>
      </c>
      <c r="L259" s="231" t="str">
        <f t="shared" ca="1" si="23"/>
        <v/>
      </c>
    </row>
    <row r="260" spans="1:12" x14ac:dyDescent="0.25">
      <c r="A260" s="227" t="str">
        <f>TEXT('1 Récapitulation'!$E$10 &amp; "-SHR","@")</f>
        <v>-SHR</v>
      </c>
      <c r="B260" s="228" t="str">
        <f ca="1">TEXT(IF(G260&lt;&gt; 0,OFFSET(INDIRECT(rtI.Anker2b),24,0),""),"@")</f>
        <v/>
      </c>
      <c r="C260" s="227" t="s">
        <v>9</v>
      </c>
      <c r="D260" s="227" t="s">
        <v>49</v>
      </c>
      <c r="E260" s="227" t="s">
        <v>37</v>
      </c>
      <c r="F260" s="227" t="s">
        <v>50</v>
      </c>
      <c r="G260" s="229">
        <f ca="1">OFFSET(INDIRECT(rtI.Anker2b),24,8)</f>
        <v>0</v>
      </c>
      <c r="H260" s="227" t="str">
        <f t="shared" ca="1" si="20"/>
        <v/>
      </c>
      <c r="I260" s="227" t="str">
        <f t="shared" ca="1" si="24"/>
        <v/>
      </c>
      <c r="J260" s="227" t="str">
        <f t="shared" ca="1" si="21"/>
        <v/>
      </c>
      <c r="K260" s="230" t="str">
        <f t="shared" ca="1" si="22"/>
        <v/>
      </c>
      <c r="L260" s="231" t="str">
        <f t="shared" ca="1" si="23"/>
        <v/>
      </c>
    </row>
    <row r="261" spans="1:12" x14ac:dyDescent="0.25">
      <c r="A261" s="227" t="str">
        <f>TEXT('1 Récapitulation'!$E$10 &amp; "-SHR","@")</f>
        <v>-SHR</v>
      </c>
      <c r="B261" s="228" t="str">
        <f ca="1">TEXT(IF(G261&lt;&gt; 0,OFFSET(INDIRECT(rtI.Anker2b),25,0),""),"@")</f>
        <v/>
      </c>
      <c r="C261" s="227" t="s">
        <v>9</v>
      </c>
      <c r="D261" s="227" t="s">
        <v>49</v>
      </c>
      <c r="E261" s="227" t="s">
        <v>37</v>
      </c>
      <c r="F261" s="227" t="s">
        <v>50</v>
      </c>
      <c r="G261" s="229">
        <f ca="1">OFFSET(INDIRECT(rtI.Anker2b),25,8)</f>
        <v>0</v>
      </c>
      <c r="H261" s="227" t="str">
        <f t="shared" ca="1" si="20"/>
        <v/>
      </c>
      <c r="I261" s="227" t="str">
        <f t="shared" ca="1" si="24"/>
        <v/>
      </c>
      <c r="J261" s="227" t="str">
        <f t="shared" ca="1" si="21"/>
        <v/>
      </c>
      <c r="K261" s="230" t="str">
        <f t="shared" ca="1" si="22"/>
        <v/>
      </c>
      <c r="L261" s="231" t="str">
        <f t="shared" ca="1" si="23"/>
        <v/>
      </c>
    </row>
    <row r="262" spans="1:12" x14ac:dyDescent="0.25">
      <c r="A262" s="227" t="str">
        <f>TEXT('1 Récapitulation'!$E$10 &amp; "-SHR","@")</f>
        <v>-SHR</v>
      </c>
      <c r="B262" s="228" t="str">
        <f ca="1">TEXT(IF(G262&lt;&gt; 0,OFFSET(INDIRECT(rtI.Anker2b),26,0),""),"@")</f>
        <v/>
      </c>
      <c r="C262" s="227" t="s">
        <v>9</v>
      </c>
      <c r="D262" s="227" t="s">
        <v>49</v>
      </c>
      <c r="E262" s="227" t="s">
        <v>37</v>
      </c>
      <c r="F262" s="227" t="s">
        <v>50</v>
      </c>
      <c r="G262" s="229">
        <f ca="1">OFFSET(INDIRECT(rtI.Anker2b),26,8)</f>
        <v>0</v>
      </c>
      <c r="H262" s="227" t="str">
        <f t="shared" ca="1" si="20"/>
        <v/>
      </c>
      <c r="I262" s="227" t="str">
        <f t="shared" ca="1" si="24"/>
        <v/>
      </c>
      <c r="J262" s="227" t="str">
        <f t="shared" ca="1" si="21"/>
        <v/>
      </c>
      <c r="K262" s="230" t="str">
        <f t="shared" ca="1" si="22"/>
        <v/>
      </c>
      <c r="L262" s="231" t="str">
        <f t="shared" ca="1" si="23"/>
        <v/>
      </c>
    </row>
    <row r="263" spans="1:12" x14ac:dyDescent="0.25">
      <c r="A263" s="227" t="str">
        <f>TEXT('1 Récapitulation'!$E$10 &amp; "-SHR","@")</f>
        <v>-SHR</v>
      </c>
      <c r="B263" s="228" t="str">
        <f ca="1">TEXT(IF(G263&lt;&gt; 0,OFFSET(INDIRECT(rtI.Anker2b),27,0),""),"@")</f>
        <v/>
      </c>
      <c r="C263" s="227" t="s">
        <v>9</v>
      </c>
      <c r="D263" s="227" t="s">
        <v>49</v>
      </c>
      <c r="E263" s="227" t="s">
        <v>37</v>
      </c>
      <c r="F263" s="227" t="s">
        <v>50</v>
      </c>
      <c r="G263" s="229">
        <f ca="1">OFFSET(INDIRECT(rtI.Anker2b),27,8)</f>
        <v>0</v>
      </c>
      <c r="H263" s="227" t="str">
        <f t="shared" ca="1" si="20"/>
        <v/>
      </c>
      <c r="I263" s="227" t="str">
        <f t="shared" ca="1" si="24"/>
        <v/>
      </c>
      <c r="J263" s="227" t="str">
        <f t="shared" ca="1" si="21"/>
        <v/>
      </c>
      <c r="K263" s="230" t="str">
        <f t="shared" ca="1" si="22"/>
        <v/>
      </c>
      <c r="L263" s="231" t="str">
        <f t="shared" ca="1" si="23"/>
        <v/>
      </c>
    </row>
    <row r="264" spans="1:12" x14ac:dyDescent="0.25">
      <c r="A264" s="227" t="str">
        <f>TEXT('1 Récapitulation'!$E$10 &amp; "-SHR","@")</f>
        <v>-SHR</v>
      </c>
      <c r="B264" s="228" t="str">
        <f ca="1">TEXT(IF(G264&lt;&gt; 0,OFFSET(INDIRECT(rtI.Anker2b),28,0),""),"@")</f>
        <v/>
      </c>
      <c r="C264" s="227" t="s">
        <v>9</v>
      </c>
      <c r="D264" s="227" t="s">
        <v>49</v>
      </c>
      <c r="E264" s="227" t="s">
        <v>37</v>
      </c>
      <c r="F264" s="227" t="s">
        <v>50</v>
      </c>
      <c r="G264" s="229">
        <f ca="1">OFFSET(INDIRECT(rtI.Anker2b),28,8)</f>
        <v>0</v>
      </c>
      <c r="H264" s="227" t="str">
        <f t="shared" ca="1" si="20"/>
        <v/>
      </c>
      <c r="I264" s="227" t="str">
        <f t="shared" ca="1" si="24"/>
        <v/>
      </c>
      <c r="J264" s="227" t="str">
        <f t="shared" ca="1" si="21"/>
        <v/>
      </c>
      <c r="K264" s="230" t="str">
        <f t="shared" ca="1" si="22"/>
        <v/>
      </c>
      <c r="L264" s="231" t="str">
        <f t="shared" ca="1" si="23"/>
        <v/>
      </c>
    </row>
    <row r="265" spans="1:12" x14ac:dyDescent="0.25">
      <c r="A265" s="227" t="str">
        <f>TEXT('1 Récapitulation'!$E$10 &amp; "-SHR","@")</f>
        <v>-SHR</v>
      </c>
      <c r="B265" s="228" t="str">
        <f ca="1">TEXT(IF(G265&lt;&gt; 0,OFFSET(INDIRECT(rtI.Anker2b),29,0),""),"@")</f>
        <v/>
      </c>
      <c r="C265" s="227" t="s">
        <v>9</v>
      </c>
      <c r="D265" s="227" t="s">
        <v>49</v>
      </c>
      <c r="E265" s="227" t="s">
        <v>37</v>
      </c>
      <c r="F265" s="227" t="s">
        <v>50</v>
      </c>
      <c r="G265" s="229">
        <f ca="1">OFFSET(INDIRECT(rtI.Anker2b),29,8)</f>
        <v>0</v>
      </c>
      <c r="H265" s="227" t="str">
        <f t="shared" ca="1" si="20"/>
        <v/>
      </c>
      <c r="I265" s="227" t="str">
        <f t="shared" ca="1" si="24"/>
        <v/>
      </c>
      <c r="J265" s="227" t="str">
        <f t="shared" ca="1" si="21"/>
        <v/>
      </c>
      <c r="K265" s="230" t="str">
        <f t="shared" ca="1" si="22"/>
        <v/>
      </c>
      <c r="L265" s="231" t="str">
        <f t="shared" ca="1" si="23"/>
        <v/>
      </c>
    </row>
    <row r="266" spans="1:12" x14ac:dyDescent="0.25">
      <c r="A266" s="227" t="str">
        <f>TEXT('1 Récapitulation'!$E$10 &amp; "-SHR","@")</f>
        <v>-SHR</v>
      </c>
      <c r="B266" s="228" t="str">
        <f ca="1">TEXT(IF(G266&lt;&gt; 0,OFFSET(INDIRECT(rtI.Anker2b),30,0),""),"@")</f>
        <v/>
      </c>
      <c r="C266" s="227" t="s">
        <v>9</v>
      </c>
      <c r="D266" s="227" t="s">
        <v>49</v>
      </c>
      <c r="E266" s="227" t="s">
        <v>37</v>
      </c>
      <c r="F266" s="227" t="s">
        <v>50</v>
      </c>
      <c r="G266" s="229">
        <f ca="1">OFFSET(INDIRECT(rtI.Anker2b),30,8)</f>
        <v>0</v>
      </c>
      <c r="H266" s="227" t="str">
        <f t="shared" ca="1" si="20"/>
        <v/>
      </c>
      <c r="I266" s="227" t="str">
        <f t="shared" ca="1" si="24"/>
        <v/>
      </c>
      <c r="J266" s="227" t="str">
        <f t="shared" ca="1" si="21"/>
        <v/>
      </c>
      <c r="K266" s="230" t="str">
        <f t="shared" ca="1" si="22"/>
        <v/>
      </c>
      <c r="L266" s="231" t="str">
        <f t="shared" ca="1" si="23"/>
        <v/>
      </c>
    </row>
    <row r="267" spans="1:12" x14ac:dyDescent="0.25">
      <c r="A267" s="227" t="str">
        <f>TEXT('1 Récapitulation'!$E$10 &amp; "-SHR","@")</f>
        <v>-SHR</v>
      </c>
      <c r="B267" s="228" t="str">
        <f ca="1">TEXT(IF(G267&lt;&gt; 0,OFFSET(INDIRECT(rtI.Anker2b),31,0),""),"@")</f>
        <v/>
      </c>
      <c r="C267" s="227" t="s">
        <v>9</v>
      </c>
      <c r="D267" s="227" t="s">
        <v>49</v>
      </c>
      <c r="E267" s="227" t="s">
        <v>37</v>
      </c>
      <c r="F267" s="227" t="s">
        <v>50</v>
      </c>
      <c r="G267" s="229">
        <f ca="1">OFFSET(INDIRECT(rtI.Anker2b),31,8)</f>
        <v>0</v>
      </c>
      <c r="H267" s="227" t="str">
        <f t="shared" ca="1" si="20"/>
        <v/>
      </c>
      <c r="I267" s="227" t="str">
        <f t="shared" ca="1" si="24"/>
        <v/>
      </c>
      <c r="J267" s="227" t="str">
        <f t="shared" ca="1" si="21"/>
        <v/>
      </c>
      <c r="K267" s="230" t="str">
        <f t="shared" ca="1" si="22"/>
        <v/>
      </c>
      <c r="L267" s="231" t="str">
        <f t="shared" ca="1" si="23"/>
        <v/>
      </c>
    </row>
    <row r="268" spans="1:12" x14ac:dyDescent="0.25">
      <c r="A268" s="227" t="str">
        <f>TEXT('1 Récapitulation'!$E$10 &amp; "-SHR","@")</f>
        <v>-SHR</v>
      </c>
      <c r="B268" s="228" t="str">
        <f ca="1">TEXT(IF(G268&lt;&gt; 0,OFFSET(INDIRECT(rtI.Anker2b),32,0),""),"@")</f>
        <v/>
      </c>
      <c r="C268" s="227" t="s">
        <v>9</v>
      </c>
      <c r="D268" s="227" t="s">
        <v>49</v>
      </c>
      <c r="E268" s="227" t="s">
        <v>37</v>
      </c>
      <c r="F268" s="227" t="s">
        <v>50</v>
      </c>
      <c r="G268" s="229">
        <f ca="1">OFFSET(INDIRECT(rtI.Anker2b),32,8)</f>
        <v>0</v>
      </c>
      <c r="H268" s="227" t="str">
        <f t="shared" ca="1" si="20"/>
        <v/>
      </c>
      <c r="I268" s="227" t="str">
        <f t="shared" ca="1" si="24"/>
        <v/>
      </c>
      <c r="J268" s="227" t="str">
        <f t="shared" ca="1" si="21"/>
        <v/>
      </c>
      <c r="K268" s="230" t="str">
        <f t="shared" ca="1" si="22"/>
        <v/>
      </c>
      <c r="L268" s="231" t="str">
        <f t="shared" ca="1" si="23"/>
        <v/>
      </c>
    </row>
    <row r="269" spans="1:12" x14ac:dyDescent="0.25">
      <c r="A269" s="227" t="str">
        <f>TEXT('1 Récapitulation'!$E$10 &amp; "-SHR","@")</f>
        <v>-SHR</v>
      </c>
      <c r="B269" s="228" t="str">
        <f ca="1">TEXT(IF(G269&lt;&gt; 0,OFFSET(INDIRECT(rtI.Anker2b),33,0),""),"@")</f>
        <v/>
      </c>
      <c r="C269" s="227" t="s">
        <v>9</v>
      </c>
      <c r="D269" s="227" t="s">
        <v>49</v>
      </c>
      <c r="E269" s="227" t="s">
        <v>37</v>
      </c>
      <c r="F269" s="227" t="s">
        <v>50</v>
      </c>
      <c r="G269" s="229">
        <f ca="1">OFFSET(INDIRECT(rtI.Anker2b),33,8)</f>
        <v>0</v>
      </c>
      <c r="H269" s="227" t="str">
        <f t="shared" ca="1" si="20"/>
        <v/>
      </c>
      <c r="I269" s="227" t="str">
        <f t="shared" ca="1" si="24"/>
        <v/>
      </c>
      <c r="J269" s="227" t="str">
        <f t="shared" ca="1" si="21"/>
        <v/>
      </c>
      <c r="K269" s="230" t="str">
        <f t="shared" ca="1" si="22"/>
        <v/>
      </c>
      <c r="L269" s="231" t="str">
        <f t="shared" ca="1" si="23"/>
        <v/>
      </c>
    </row>
    <row r="270" spans="1:12" x14ac:dyDescent="0.25">
      <c r="A270" s="227" t="str">
        <f>TEXT('1 Récapitulation'!$E$10 &amp; "-SHR","@")</f>
        <v>-SHR</v>
      </c>
      <c r="B270" s="228" t="str">
        <f ca="1">TEXT(IF(G270&lt;&gt; 0,OFFSET(INDIRECT(rtI.Anker2b),34,0),""),"@")</f>
        <v/>
      </c>
      <c r="C270" s="227" t="s">
        <v>9</v>
      </c>
      <c r="D270" s="227" t="s">
        <v>49</v>
      </c>
      <c r="E270" s="227" t="s">
        <v>37</v>
      </c>
      <c r="F270" s="227" t="s">
        <v>50</v>
      </c>
      <c r="G270" s="229">
        <f ca="1">OFFSET(INDIRECT(rtI.Anker2b),34,8)</f>
        <v>0</v>
      </c>
      <c r="H270" s="227" t="str">
        <f t="shared" ca="1" si="20"/>
        <v/>
      </c>
      <c r="I270" s="227" t="str">
        <f t="shared" ca="1" si="24"/>
        <v/>
      </c>
      <c r="J270" s="227" t="str">
        <f t="shared" ca="1" si="21"/>
        <v/>
      </c>
      <c r="K270" s="230" t="str">
        <f t="shared" ca="1" si="22"/>
        <v/>
      </c>
      <c r="L270" s="231" t="str">
        <f t="shared" ca="1" si="23"/>
        <v/>
      </c>
    </row>
    <row r="271" spans="1:12" x14ac:dyDescent="0.25">
      <c r="A271" s="227" t="str">
        <f>TEXT('1 Récapitulation'!$E$10 &amp; "-SHR","@")</f>
        <v>-SHR</v>
      </c>
      <c r="B271" s="228" t="str">
        <f ca="1">TEXT(IF(G271&lt;&gt; 0,OFFSET(INDIRECT(rtI.Anker2b),35,0),""),"@")</f>
        <v/>
      </c>
      <c r="C271" s="227" t="s">
        <v>9</v>
      </c>
      <c r="D271" s="227" t="s">
        <v>49</v>
      </c>
      <c r="E271" s="227" t="s">
        <v>37</v>
      </c>
      <c r="F271" s="227" t="s">
        <v>50</v>
      </c>
      <c r="G271" s="229">
        <f ca="1">OFFSET(INDIRECT(rtI.Anker2b),35,8)</f>
        <v>0</v>
      </c>
      <c r="H271" s="227" t="str">
        <f t="shared" ca="1" si="20"/>
        <v/>
      </c>
      <c r="I271" s="227" t="str">
        <f t="shared" ca="1" si="24"/>
        <v/>
      </c>
      <c r="J271" s="227" t="str">
        <f t="shared" ca="1" si="21"/>
        <v/>
      </c>
      <c r="K271" s="230" t="str">
        <f t="shared" ca="1" si="22"/>
        <v/>
      </c>
      <c r="L271" s="231" t="str">
        <f t="shared" ca="1" si="23"/>
        <v/>
      </c>
    </row>
    <row r="272" spans="1:12" x14ac:dyDescent="0.25">
      <c r="A272" s="227" t="str">
        <f>TEXT('1 Récapitulation'!$E$10 &amp; "-SHR","@")</f>
        <v>-SHR</v>
      </c>
      <c r="B272" s="228" t="str">
        <f ca="1">TEXT(IF(G272&lt;&gt; 0,OFFSET(INDIRECT(rtI.Anker2b),36,0),""),"@")</f>
        <v/>
      </c>
      <c r="C272" s="227" t="s">
        <v>9</v>
      </c>
      <c r="D272" s="227" t="s">
        <v>49</v>
      </c>
      <c r="E272" s="227" t="s">
        <v>37</v>
      </c>
      <c r="F272" s="227" t="s">
        <v>50</v>
      </c>
      <c r="G272" s="229">
        <f ca="1">OFFSET(INDIRECT(rtI.Anker2b),36,8)</f>
        <v>0</v>
      </c>
      <c r="H272" s="227" t="str">
        <f t="shared" ca="1" si="20"/>
        <v/>
      </c>
      <c r="I272" s="227" t="str">
        <f t="shared" ca="1" si="24"/>
        <v/>
      </c>
      <c r="J272" s="227" t="str">
        <f t="shared" ca="1" si="21"/>
        <v/>
      </c>
      <c r="K272" s="230" t="str">
        <f t="shared" ca="1" si="22"/>
        <v/>
      </c>
      <c r="L272" s="231" t="str">
        <f t="shared" ca="1" si="23"/>
        <v/>
      </c>
    </row>
    <row r="273" spans="1:12" x14ac:dyDescent="0.25">
      <c r="A273" s="227" t="str">
        <f>TEXT('1 Récapitulation'!$E$10 &amp; "-SHR","@")</f>
        <v>-SHR</v>
      </c>
      <c r="B273" s="228" t="str">
        <f ca="1">TEXT(IF(G273&lt;&gt; 0,OFFSET(INDIRECT(rtI.Anker2b),37,0),""),"@")</f>
        <v/>
      </c>
      <c r="C273" s="227" t="s">
        <v>9</v>
      </c>
      <c r="D273" s="227" t="s">
        <v>49</v>
      </c>
      <c r="E273" s="227" t="s">
        <v>37</v>
      </c>
      <c r="F273" s="227" t="s">
        <v>50</v>
      </c>
      <c r="G273" s="229">
        <f ca="1">OFFSET(INDIRECT(rtI.Anker2b),37,8)</f>
        <v>0</v>
      </c>
      <c r="H273" s="227" t="str">
        <f t="shared" ca="1" si="20"/>
        <v/>
      </c>
      <c r="I273" s="227" t="str">
        <f t="shared" ca="1" si="24"/>
        <v/>
      </c>
      <c r="J273" s="227" t="str">
        <f t="shared" ca="1" si="21"/>
        <v/>
      </c>
      <c r="K273" s="230" t="str">
        <f t="shared" ca="1" si="22"/>
        <v/>
      </c>
      <c r="L273" s="231" t="str">
        <f t="shared" ca="1" si="23"/>
        <v/>
      </c>
    </row>
    <row r="274" spans="1:12" x14ac:dyDescent="0.25">
      <c r="A274" s="227" t="str">
        <f>TEXT('1 Récapitulation'!$E$10 &amp; "-SHR","@")</f>
        <v>-SHR</v>
      </c>
      <c r="B274" s="228" t="str">
        <f ca="1">TEXT(IF(G274&lt;&gt; 0,OFFSET(INDIRECT(rtI.Anker2b),38,0),""),"@")</f>
        <v/>
      </c>
      <c r="C274" s="227" t="s">
        <v>9</v>
      </c>
      <c r="D274" s="227" t="s">
        <v>49</v>
      </c>
      <c r="E274" s="227" t="s">
        <v>37</v>
      </c>
      <c r="F274" s="227" t="s">
        <v>50</v>
      </c>
      <c r="G274" s="229">
        <f ca="1">OFFSET(INDIRECT(rtI.Anker2b),38,8)</f>
        <v>0</v>
      </c>
      <c r="H274" s="227" t="str">
        <f t="shared" ca="1" si="20"/>
        <v/>
      </c>
      <c r="I274" s="227" t="str">
        <f t="shared" ca="1" si="24"/>
        <v/>
      </c>
      <c r="J274" s="227" t="str">
        <f t="shared" ca="1" si="21"/>
        <v/>
      </c>
      <c r="K274" s="230" t="str">
        <f t="shared" ca="1" si="22"/>
        <v/>
      </c>
      <c r="L274" s="231" t="str">
        <f t="shared" ca="1" si="23"/>
        <v/>
      </c>
    </row>
    <row r="275" spans="1:12" x14ac:dyDescent="0.25">
      <c r="A275" s="227" t="str">
        <f>TEXT('1 Récapitulation'!$E$10 &amp; "-SHR","@")</f>
        <v>-SHR</v>
      </c>
      <c r="B275" s="228" t="str">
        <f ca="1">TEXT(IF(G275&lt;&gt; 0,OFFSET(INDIRECT(rtI.Anker2b),-1,0),""),"@")</f>
        <v/>
      </c>
      <c r="C275" s="227" t="s">
        <v>9</v>
      </c>
      <c r="D275" s="227" t="s">
        <v>51</v>
      </c>
      <c r="E275" s="227" t="s">
        <v>37</v>
      </c>
      <c r="F275" s="233" t="s">
        <v>135</v>
      </c>
      <c r="G275" s="229">
        <f ca="1">OFFSET(INDIRECT(rtI.Anker2b),-1,9)</f>
        <v>0</v>
      </c>
      <c r="H275" s="227" t="str">
        <f ca="1">IF(G275&lt;&gt;0,IF(F275="1000","Aufwand",IF(OR(F275="1001",F275="1002",F275="1003",F275="1004",F275="1004",F275="1005",F275="1006"),"Ertrag","")),"")</f>
        <v/>
      </c>
      <c r="I275" s="227" t="str">
        <f ca="1">IF(H275&lt;&gt;"","Total","")</f>
        <v/>
      </c>
      <c r="J275" s="227" t="str">
        <f ca="1">IF(H275="Aufwand","Total Aufwand",IF(H275="Ertrag","Total Ertrag",""))</f>
        <v/>
      </c>
      <c r="K275" s="227" t="str">
        <f ca="1">IF(H275&lt;&gt;"","999999999.99","")</f>
        <v/>
      </c>
      <c r="L275" s="231" t="str">
        <f ca="1">IF(H275="Aufwand","900",IF(H275="Ertrag","901",""))</f>
        <v/>
      </c>
    </row>
    <row r="276" spans="1:12" x14ac:dyDescent="0.25">
      <c r="A276" s="227" t="str">
        <f>TEXT('1 Récapitulation'!$E$10 &amp; "-SHR","@")</f>
        <v>-SHR</v>
      </c>
      <c r="B276" s="228" t="str">
        <f ca="1">TEXT(IF(G276&lt;&gt; 0,OFFSET(INDIRECT(rtI.Anker3a),0,0),""),"@")</f>
        <v/>
      </c>
      <c r="C276" s="227" t="s">
        <v>10</v>
      </c>
      <c r="D276" s="227" t="s">
        <v>52</v>
      </c>
      <c r="E276" s="227" t="s">
        <v>53</v>
      </c>
      <c r="F276" s="227" t="s">
        <v>54</v>
      </c>
      <c r="G276" s="229">
        <f ca="1">OFFSET(INDIRECT(rtI.Anker3a),0,2)</f>
        <v>0</v>
      </c>
      <c r="H276" s="227" t="str">
        <f t="shared" ca="1" si="20"/>
        <v/>
      </c>
      <c r="I276" s="227" t="str">
        <f t="shared" ca="1" si="24"/>
        <v/>
      </c>
      <c r="J276" s="227" t="str">
        <f t="shared" ca="1" si="21"/>
        <v/>
      </c>
      <c r="K276" s="230" t="str">
        <f t="shared" ca="1" si="22"/>
        <v/>
      </c>
      <c r="L276" s="231" t="str">
        <f t="shared" ca="1" si="23"/>
        <v/>
      </c>
    </row>
    <row r="277" spans="1:12" x14ac:dyDescent="0.25">
      <c r="A277" s="227" t="str">
        <f>TEXT('1 Récapitulation'!$E$10 &amp; "-SHR","@")</f>
        <v>-SHR</v>
      </c>
      <c r="B277" s="228" t="str">
        <f ca="1">TEXT(IF(G277&lt;&gt; 0,OFFSET(INDIRECT(rtI.Anker3a),1,0),""),"@")</f>
        <v/>
      </c>
      <c r="C277" s="227" t="s">
        <v>10</v>
      </c>
      <c r="D277" s="227" t="s">
        <v>52</v>
      </c>
      <c r="E277" s="227" t="s">
        <v>53</v>
      </c>
      <c r="F277" s="227" t="s">
        <v>54</v>
      </c>
      <c r="G277" s="229">
        <f ca="1">OFFSET(INDIRECT(rtI.Anker3a),1,2)</f>
        <v>0</v>
      </c>
      <c r="H277" s="227" t="str">
        <f t="shared" ca="1" si="20"/>
        <v/>
      </c>
      <c r="I277" s="227" t="str">
        <f t="shared" ca="1" si="24"/>
        <v/>
      </c>
      <c r="J277" s="227" t="str">
        <f t="shared" ca="1" si="21"/>
        <v/>
      </c>
      <c r="K277" s="230" t="str">
        <f t="shared" ca="1" si="22"/>
        <v/>
      </c>
      <c r="L277" s="231" t="str">
        <f t="shared" ca="1" si="23"/>
        <v/>
      </c>
    </row>
    <row r="278" spans="1:12" x14ac:dyDescent="0.25">
      <c r="A278" s="227" t="str">
        <f>TEXT('1 Récapitulation'!$E$10 &amp; "-SHR","@")</f>
        <v>-SHR</v>
      </c>
      <c r="B278" s="228" t="str">
        <f ca="1">TEXT(IF(G278&lt;&gt; 0,OFFSET(INDIRECT(rtI.Anker3a),2,0),""),"@")</f>
        <v/>
      </c>
      <c r="C278" s="227" t="s">
        <v>10</v>
      </c>
      <c r="D278" s="227" t="s">
        <v>52</v>
      </c>
      <c r="E278" s="227" t="s">
        <v>53</v>
      </c>
      <c r="F278" s="227" t="s">
        <v>54</v>
      </c>
      <c r="G278" s="229">
        <f ca="1">OFFSET(INDIRECT(rtI.Anker3a),2,2)</f>
        <v>0</v>
      </c>
      <c r="H278" s="227" t="str">
        <f t="shared" ca="1" si="20"/>
        <v/>
      </c>
      <c r="I278" s="227" t="str">
        <f t="shared" ca="1" si="24"/>
        <v/>
      </c>
      <c r="J278" s="227" t="str">
        <f t="shared" ca="1" si="21"/>
        <v/>
      </c>
      <c r="K278" s="230" t="str">
        <f t="shared" ca="1" si="22"/>
        <v/>
      </c>
      <c r="L278" s="231" t="str">
        <f t="shared" ca="1" si="23"/>
        <v/>
      </c>
    </row>
    <row r="279" spans="1:12" x14ac:dyDescent="0.25">
      <c r="A279" s="227" t="str">
        <f>TEXT('1 Récapitulation'!$E$10 &amp; "-SHR","@")</f>
        <v>-SHR</v>
      </c>
      <c r="B279" s="228" t="str">
        <f ca="1">TEXT(IF(G279&lt;&gt; 0,OFFSET(INDIRECT(rtI.Anker3a),3,0),""),"@")</f>
        <v/>
      </c>
      <c r="C279" s="227" t="s">
        <v>10</v>
      </c>
      <c r="D279" s="227" t="s">
        <v>52</v>
      </c>
      <c r="E279" s="227" t="s">
        <v>53</v>
      </c>
      <c r="F279" s="227" t="s">
        <v>54</v>
      </c>
      <c r="G279" s="229">
        <f ca="1">OFFSET(INDIRECT(rtI.Anker3a),3,2)</f>
        <v>0</v>
      </c>
      <c r="H279" s="227" t="str">
        <f t="shared" ca="1" si="20"/>
        <v/>
      </c>
      <c r="I279" s="227" t="str">
        <f t="shared" ca="1" si="24"/>
        <v/>
      </c>
      <c r="J279" s="227" t="str">
        <f t="shared" ca="1" si="21"/>
        <v/>
      </c>
      <c r="K279" s="230" t="str">
        <f t="shared" ca="1" si="22"/>
        <v/>
      </c>
      <c r="L279" s="231" t="str">
        <f t="shared" ca="1" si="23"/>
        <v/>
      </c>
    </row>
    <row r="280" spans="1:12" x14ac:dyDescent="0.25">
      <c r="A280" s="227" t="str">
        <f>TEXT('1 Récapitulation'!$E$10 &amp; "-SHR","@")</f>
        <v>-SHR</v>
      </c>
      <c r="B280" s="228" t="str">
        <f ca="1">TEXT(IF(G280&lt;&gt; 0,OFFSET(INDIRECT(rtI.Anker3a),4,0),""),"@")</f>
        <v/>
      </c>
      <c r="C280" s="227" t="s">
        <v>10</v>
      </c>
      <c r="D280" s="227" t="s">
        <v>52</v>
      </c>
      <c r="E280" s="227" t="s">
        <v>53</v>
      </c>
      <c r="F280" s="227" t="s">
        <v>54</v>
      </c>
      <c r="G280" s="229">
        <f ca="1">OFFSET(INDIRECT(rtI.Anker3a),4,2)</f>
        <v>0</v>
      </c>
      <c r="H280" s="227" t="str">
        <f t="shared" ca="1" si="20"/>
        <v/>
      </c>
      <c r="I280" s="227" t="str">
        <f t="shared" ca="1" si="24"/>
        <v/>
      </c>
      <c r="J280" s="227" t="str">
        <f t="shared" ca="1" si="21"/>
        <v/>
      </c>
      <c r="K280" s="230" t="str">
        <f t="shared" ca="1" si="22"/>
        <v/>
      </c>
      <c r="L280" s="231" t="str">
        <f t="shared" ca="1" si="23"/>
        <v/>
      </c>
    </row>
    <row r="281" spans="1:12" x14ac:dyDescent="0.25">
      <c r="A281" s="227" t="str">
        <f>TEXT('1 Récapitulation'!$E$10 &amp; "-SHR","@")</f>
        <v>-SHR</v>
      </c>
      <c r="B281" s="228" t="str">
        <f ca="1">TEXT(IF(G281&lt;&gt; 0,OFFSET(INDIRECT(rtI.Anker3a),5,0),""),"@")</f>
        <v/>
      </c>
      <c r="C281" s="227" t="s">
        <v>10</v>
      </c>
      <c r="D281" s="227" t="s">
        <v>52</v>
      </c>
      <c r="E281" s="227" t="s">
        <v>53</v>
      </c>
      <c r="F281" s="227" t="s">
        <v>54</v>
      </c>
      <c r="G281" s="229">
        <f ca="1">OFFSET(INDIRECT(rtI.Anker3a),5,2)</f>
        <v>0</v>
      </c>
      <c r="H281" s="227" t="str">
        <f t="shared" ca="1" si="20"/>
        <v/>
      </c>
      <c r="I281" s="227" t="str">
        <f t="shared" ca="1" si="24"/>
        <v/>
      </c>
      <c r="J281" s="227" t="str">
        <f t="shared" ca="1" si="21"/>
        <v/>
      </c>
      <c r="K281" s="230" t="str">
        <f t="shared" ca="1" si="22"/>
        <v/>
      </c>
      <c r="L281" s="231" t="str">
        <f t="shared" ca="1" si="23"/>
        <v/>
      </c>
    </row>
    <row r="282" spans="1:12" x14ac:dyDescent="0.25">
      <c r="A282" s="227" t="str">
        <f>TEXT('1 Récapitulation'!$E$10 &amp; "-SHR","@")</f>
        <v>-SHR</v>
      </c>
      <c r="B282" s="228" t="str">
        <f ca="1">TEXT(IF(G282&lt;&gt; 0,OFFSET(INDIRECT(rtI.Anker3a),6,0),""),"@")</f>
        <v/>
      </c>
      <c r="C282" s="227" t="s">
        <v>10</v>
      </c>
      <c r="D282" s="227" t="s">
        <v>52</v>
      </c>
      <c r="E282" s="227" t="s">
        <v>53</v>
      </c>
      <c r="F282" s="227" t="s">
        <v>54</v>
      </c>
      <c r="G282" s="229">
        <f ca="1">OFFSET(INDIRECT(rtI.Anker3a),6,2)</f>
        <v>0</v>
      </c>
      <c r="H282" s="227" t="str">
        <f t="shared" ca="1" si="20"/>
        <v/>
      </c>
      <c r="I282" s="227" t="str">
        <f t="shared" ca="1" si="24"/>
        <v/>
      </c>
      <c r="J282" s="227" t="str">
        <f t="shared" ca="1" si="21"/>
        <v/>
      </c>
      <c r="K282" s="230" t="str">
        <f t="shared" ca="1" si="22"/>
        <v/>
      </c>
      <c r="L282" s="231" t="str">
        <f t="shared" ca="1" si="23"/>
        <v/>
      </c>
    </row>
    <row r="283" spans="1:12" x14ac:dyDescent="0.25">
      <c r="A283" s="227" t="str">
        <f>TEXT('1 Récapitulation'!$E$10 &amp; "-SHR","@")</f>
        <v>-SHR</v>
      </c>
      <c r="B283" s="228" t="str">
        <f ca="1">TEXT(IF(G283&lt;&gt; 0,OFFSET(INDIRECT(rtI.Anker3a),7,0),""),"@")</f>
        <v/>
      </c>
      <c r="C283" s="227" t="s">
        <v>10</v>
      </c>
      <c r="D283" s="227" t="s">
        <v>52</v>
      </c>
      <c r="E283" s="227" t="s">
        <v>53</v>
      </c>
      <c r="F283" s="227" t="s">
        <v>54</v>
      </c>
      <c r="G283" s="229">
        <f ca="1">OFFSET(INDIRECT(rtI.Anker3a),7,2)</f>
        <v>0</v>
      </c>
      <c r="H283" s="227" t="str">
        <f t="shared" ca="1" si="20"/>
        <v/>
      </c>
      <c r="I283" s="227" t="str">
        <f t="shared" ca="1" si="24"/>
        <v/>
      </c>
      <c r="J283" s="227" t="str">
        <f t="shared" ca="1" si="21"/>
        <v/>
      </c>
      <c r="K283" s="230" t="str">
        <f t="shared" ca="1" si="22"/>
        <v/>
      </c>
      <c r="L283" s="231" t="str">
        <f t="shared" ca="1" si="23"/>
        <v/>
      </c>
    </row>
    <row r="284" spans="1:12" x14ac:dyDescent="0.25">
      <c r="A284" s="227" t="str">
        <f>TEXT('1 Récapitulation'!$E$10 &amp; "-SHR","@")</f>
        <v>-SHR</v>
      </c>
      <c r="B284" s="228" t="str">
        <f ca="1">TEXT(IF(G284&lt;&gt; 0,OFFSET(INDIRECT(rtI.Anker3a),8,0),""),"@")</f>
        <v/>
      </c>
      <c r="C284" s="227" t="s">
        <v>10</v>
      </c>
      <c r="D284" s="227" t="s">
        <v>52</v>
      </c>
      <c r="E284" s="227" t="s">
        <v>53</v>
      </c>
      <c r="F284" s="227" t="s">
        <v>54</v>
      </c>
      <c r="G284" s="229">
        <f ca="1">OFFSET(INDIRECT(rtI.Anker3a),8,2)</f>
        <v>0</v>
      </c>
      <c r="H284" s="227" t="str">
        <f t="shared" ca="1" si="20"/>
        <v/>
      </c>
      <c r="I284" s="227" t="str">
        <f t="shared" ca="1" si="24"/>
        <v/>
      </c>
      <c r="J284" s="227" t="str">
        <f t="shared" ca="1" si="21"/>
        <v/>
      </c>
      <c r="K284" s="230" t="str">
        <f t="shared" ca="1" si="22"/>
        <v/>
      </c>
      <c r="L284" s="231" t="str">
        <f t="shared" ca="1" si="23"/>
        <v/>
      </c>
    </row>
    <row r="285" spans="1:12" x14ac:dyDescent="0.25">
      <c r="A285" s="227" t="str">
        <f>TEXT('1 Récapitulation'!$E$10 &amp; "-SHR","@")</f>
        <v>-SHR</v>
      </c>
      <c r="B285" s="228" t="str">
        <f ca="1">TEXT(IF(G285&lt;&gt; 0,OFFSET(INDIRECT(rtI.Anker3a),9,0),""),"@")</f>
        <v/>
      </c>
      <c r="C285" s="227" t="s">
        <v>10</v>
      </c>
      <c r="D285" s="227" t="s">
        <v>52</v>
      </c>
      <c r="E285" s="227" t="s">
        <v>53</v>
      </c>
      <c r="F285" s="227" t="s">
        <v>54</v>
      </c>
      <c r="G285" s="229">
        <f ca="1">OFFSET(INDIRECT(rtI.Anker3a),9,2)</f>
        <v>0</v>
      </c>
      <c r="H285" s="227" t="str">
        <f t="shared" ca="1" si="20"/>
        <v/>
      </c>
      <c r="I285" s="227" t="str">
        <f t="shared" ca="1" si="24"/>
        <v/>
      </c>
      <c r="J285" s="227" t="str">
        <f t="shared" ca="1" si="21"/>
        <v/>
      </c>
      <c r="K285" s="230" t="str">
        <f t="shared" ca="1" si="22"/>
        <v/>
      </c>
      <c r="L285" s="231" t="str">
        <f t="shared" ca="1" si="23"/>
        <v/>
      </c>
    </row>
    <row r="286" spans="1:12" x14ac:dyDescent="0.25">
      <c r="A286" s="227" t="str">
        <f>TEXT('1 Récapitulation'!$E$10 &amp; "-SHR","@")</f>
        <v>-SHR</v>
      </c>
      <c r="B286" s="228" t="str">
        <f ca="1">TEXT(IF(G286&lt;&gt; 0,OFFSET(INDIRECT(rtI.Anker3a),10,0),""),"@")</f>
        <v/>
      </c>
      <c r="C286" s="227" t="s">
        <v>10</v>
      </c>
      <c r="D286" s="227" t="s">
        <v>52</v>
      </c>
      <c r="E286" s="227" t="s">
        <v>53</v>
      </c>
      <c r="F286" s="227" t="s">
        <v>54</v>
      </c>
      <c r="G286" s="229">
        <f ca="1">OFFSET(INDIRECT(rtI.Anker3a),10,2)</f>
        <v>0</v>
      </c>
      <c r="H286" s="227" t="str">
        <f t="shared" ca="1" si="20"/>
        <v/>
      </c>
      <c r="I286" s="227" t="str">
        <f t="shared" ca="1" si="24"/>
        <v/>
      </c>
      <c r="J286" s="227" t="str">
        <f t="shared" ca="1" si="21"/>
        <v/>
      </c>
      <c r="K286" s="230" t="str">
        <f t="shared" ca="1" si="22"/>
        <v/>
      </c>
      <c r="L286" s="231" t="str">
        <f t="shared" ca="1" si="23"/>
        <v/>
      </c>
    </row>
    <row r="287" spans="1:12" x14ac:dyDescent="0.25">
      <c r="A287" s="227" t="str">
        <f>TEXT('1 Récapitulation'!$E$10 &amp; "-SHR","@")</f>
        <v>-SHR</v>
      </c>
      <c r="B287" s="228" t="str">
        <f ca="1">TEXT(IF(G287&lt;&gt; 0,OFFSET(INDIRECT(rtI.Anker3a),11,0),""),"@")</f>
        <v/>
      </c>
      <c r="C287" s="227" t="s">
        <v>10</v>
      </c>
      <c r="D287" s="227" t="s">
        <v>52</v>
      </c>
      <c r="E287" s="227" t="s">
        <v>53</v>
      </c>
      <c r="F287" s="227" t="s">
        <v>54</v>
      </c>
      <c r="G287" s="229">
        <f ca="1">OFFSET(INDIRECT(rtI.Anker3a),11,2)</f>
        <v>0</v>
      </c>
      <c r="H287" s="227" t="str">
        <f t="shared" ca="1" si="20"/>
        <v/>
      </c>
      <c r="I287" s="227" t="str">
        <f t="shared" ca="1" si="24"/>
        <v/>
      </c>
      <c r="J287" s="227" t="str">
        <f t="shared" ca="1" si="21"/>
        <v/>
      </c>
      <c r="K287" s="230" t="str">
        <f t="shared" ca="1" si="22"/>
        <v/>
      </c>
      <c r="L287" s="231" t="str">
        <f t="shared" ca="1" si="23"/>
        <v/>
      </c>
    </row>
    <row r="288" spans="1:12" x14ac:dyDescent="0.25">
      <c r="A288" s="227" t="str">
        <f>TEXT('1 Récapitulation'!$E$10 &amp; "-SHR","@")</f>
        <v>-SHR</v>
      </c>
      <c r="B288" s="228" t="str">
        <f ca="1">TEXT(IF(G288&lt;&gt; 0,OFFSET(INDIRECT(rtI.Anker3a),12,0),""),"@")</f>
        <v/>
      </c>
      <c r="C288" s="227" t="s">
        <v>10</v>
      </c>
      <c r="D288" s="227" t="s">
        <v>52</v>
      </c>
      <c r="E288" s="227" t="s">
        <v>53</v>
      </c>
      <c r="F288" s="227" t="s">
        <v>54</v>
      </c>
      <c r="G288" s="229">
        <f ca="1">OFFSET(INDIRECT(rtI.Anker3a),12,2)</f>
        <v>0</v>
      </c>
      <c r="H288" s="227" t="str">
        <f t="shared" ca="1" si="20"/>
        <v/>
      </c>
      <c r="I288" s="227" t="str">
        <f t="shared" ca="1" si="24"/>
        <v/>
      </c>
      <c r="J288" s="227" t="str">
        <f t="shared" ca="1" si="21"/>
        <v/>
      </c>
      <c r="K288" s="230" t="str">
        <f t="shared" ca="1" si="22"/>
        <v/>
      </c>
      <c r="L288" s="231" t="str">
        <f t="shared" ca="1" si="23"/>
        <v/>
      </c>
    </row>
    <row r="289" spans="1:12" x14ac:dyDescent="0.25">
      <c r="A289" s="227" t="str">
        <f>TEXT('1 Récapitulation'!$E$10 &amp; "-SHR","@")</f>
        <v>-SHR</v>
      </c>
      <c r="B289" s="228" t="str">
        <f ca="1">TEXT(IF(G289&lt;&gt; 0,OFFSET(INDIRECT(rtI.Anker3a),13,0),""),"@")</f>
        <v/>
      </c>
      <c r="C289" s="227" t="s">
        <v>10</v>
      </c>
      <c r="D289" s="227" t="s">
        <v>52</v>
      </c>
      <c r="E289" s="227" t="s">
        <v>53</v>
      </c>
      <c r="F289" s="227" t="s">
        <v>54</v>
      </c>
      <c r="G289" s="229">
        <f ca="1">OFFSET(INDIRECT(rtI.Anker3a),13,2)</f>
        <v>0</v>
      </c>
      <c r="H289" s="227" t="str">
        <f t="shared" ca="1" si="20"/>
        <v/>
      </c>
      <c r="I289" s="227" t="str">
        <f t="shared" ca="1" si="24"/>
        <v/>
      </c>
      <c r="J289" s="227" t="str">
        <f t="shared" ca="1" si="21"/>
        <v/>
      </c>
      <c r="K289" s="230" t="str">
        <f t="shared" ca="1" si="22"/>
        <v/>
      </c>
      <c r="L289" s="231" t="str">
        <f t="shared" ca="1" si="23"/>
        <v/>
      </c>
    </row>
    <row r="290" spans="1:12" x14ac:dyDescent="0.25">
      <c r="A290" s="227" t="str">
        <f>TEXT('1 Récapitulation'!$E$10 &amp; "-SHR","@")</f>
        <v>-SHR</v>
      </c>
      <c r="B290" s="228" t="str">
        <f ca="1">TEXT(IF(G290&lt;&gt; 0,OFFSET(INDIRECT(rtI.Anker3a),14,0),""),"@")</f>
        <v/>
      </c>
      <c r="C290" s="227" t="s">
        <v>10</v>
      </c>
      <c r="D290" s="227" t="s">
        <v>52</v>
      </c>
      <c r="E290" s="227" t="s">
        <v>53</v>
      </c>
      <c r="F290" s="227" t="s">
        <v>54</v>
      </c>
      <c r="G290" s="229">
        <f ca="1">OFFSET(INDIRECT(rtI.Anker3a),14,2)</f>
        <v>0</v>
      </c>
      <c r="H290" s="227" t="str">
        <f t="shared" ca="1" si="20"/>
        <v/>
      </c>
      <c r="I290" s="227" t="str">
        <f t="shared" ca="1" si="24"/>
        <v/>
      </c>
      <c r="J290" s="227" t="str">
        <f t="shared" ca="1" si="21"/>
        <v/>
      </c>
      <c r="K290" s="230" t="str">
        <f t="shared" ca="1" si="22"/>
        <v/>
      </c>
      <c r="L290" s="231" t="str">
        <f t="shared" ca="1" si="23"/>
        <v/>
      </c>
    </row>
    <row r="291" spans="1:12" x14ac:dyDescent="0.25">
      <c r="A291" s="227" t="str">
        <f>TEXT('1 Récapitulation'!$E$10 &amp; "-SHR","@")</f>
        <v>-SHR</v>
      </c>
      <c r="B291" s="228" t="str">
        <f ca="1">TEXT(IF(G291&lt;&gt; 0,OFFSET(INDIRECT(rtI.Anker3a),15,0),""),"@")</f>
        <v/>
      </c>
      <c r="C291" s="227" t="s">
        <v>10</v>
      </c>
      <c r="D291" s="227" t="s">
        <v>52</v>
      </c>
      <c r="E291" s="227" t="s">
        <v>53</v>
      </c>
      <c r="F291" s="227" t="s">
        <v>54</v>
      </c>
      <c r="G291" s="229">
        <f ca="1">OFFSET(INDIRECT(rtI.Anker3a),15,2)</f>
        <v>0</v>
      </c>
      <c r="H291" s="227" t="str">
        <f t="shared" ca="1" si="20"/>
        <v/>
      </c>
      <c r="I291" s="227" t="str">
        <f t="shared" ca="1" si="24"/>
        <v/>
      </c>
      <c r="J291" s="227" t="str">
        <f t="shared" ca="1" si="21"/>
        <v/>
      </c>
      <c r="K291" s="230" t="str">
        <f t="shared" ca="1" si="22"/>
        <v/>
      </c>
      <c r="L291" s="231" t="str">
        <f t="shared" ca="1" si="23"/>
        <v/>
      </c>
    </row>
    <row r="292" spans="1:12" x14ac:dyDescent="0.25">
      <c r="A292" s="227" t="str">
        <f>TEXT('1 Récapitulation'!$E$10 &amp; "-SHR","@")</f>
        <v>-SHR</v>
      </c>
      <c r="B292" s="228" t="str">
        <f ca="1">TEXT(IF(G292&lt;&gt; 0,OFFSET(INDIRECT(rtI.Anker3a),16,0),""),"@")</f>
        <v/>
      </c>
      <c r="C292" s="227" t="s">
        <v>10</v>
      </c>
      <c r="D292" s="227" t="s">
        <v>52</v>
      </c>
      <c r="E292" s="227" t="s">
        <v>53</v>
      </c>
      <c r="F292" s="227" t="s">
        <v>54</v>
      </c>
      <c r="G292" s="229">
        <f ca="1">OFFSET(INDIRECT(rtI.Anker3a),16,2)</f>
        <v>0</v>
      </c>
      <c r="H292" s="227" t="str">
        <f t="shared" ca="1" si="20"/>
        <v/>
      </c>
      <c r="I292" s="227" t="str">
        <f t="shared" ca="1" si="24"/>
        <v/>
      </c>
      <c r="J292" s="227" t="str">
        <f t="shared" ca="1" si="21"/>
        <v/>
      </c>
      <c r="K292" s="230" t="str">
        <f t="shared" ca="1" si="22"/>
        <v/>
      </c>
      <c r="L292" s="231" t="str">
        <f t="shared" ca="1" si="23"/>
        <v/>
      </c>
    </row>
    <row r="293" spans="1:12" x14ac:dyDescent="0.25">
      <c r="A293" s="227" t="str">
        <f>TEXT('1 Récapitulation'!$E$10 &amp; "-SHR","@")</f>
        <v>-SHR</v>
      </c>
      <c r="B293" s="228" t="str">
        <f ca="1">TEXT(IF(G293&lt;&gt; 0,OFFSET(INDIRECT(rtI.Anker3a),17,0),""),"@")</f>
        <v/>
      </c>
      <c r="C293" s="227" t="s">
        <v>10</v>
      </c>
      <c r="D293" s="227" t="s">
        <v>52</v>
      </c>
      <c r="E293" s="227" t="s">
        <v>53</v>
      </c>
      <c r="F293" s="227" t="s">
        <v>54</v>
      </c>
      <c r="G293" s="229">
        <f ca="1">OFFSET(INDIRECT(rtI.Anker3a),17,2)</f>
        <v>0</v>
      </c>
      <c r="H293" s="227" t="str">
        <f t="shared" ca="1" si="20"/>
        <v/>
      </c>
      <c r="I293" s="227" t="str">
        <f t="shared" ca="1" si="24"/>
        <v/>
      </c>
      <c r="J293" s="227" t="str">
        <f t="shared" ca="1" si="21"/>
        <v/>
      </c>
      <c r="K293" s="230" t="str">
        <f t="shared" ca="1" si="22"/>
        <v/>
      </c>
      <c r="L293" s="231" t="str">
        <f t="shared" ca="1" si="23"/>
        <v/>
      </c>
    </row>
    <row r="294" spans="1:12" x14ac:dyDescent="0.25">
      <c r="A294" s="227" t="str">
        <f>TEXT('1 Récapitulation'!$E$10 &amp; "-SHR","@")</f>
        <v>-SHR</v>
      </c>
      <c r="B294" s="228" t="str">
        <f ca="1">TEXT(IF(G294&lt;&gt; 0,OFFSET(INDIRECT(rtI.Anker3a),18,0),""),"@")</f>
        <v/>
      </c>
      <c r="C294" s="227" t="s">
        <v>10</v>
      </c>
      <c r="D294" s="227" t="s">
        <v>52</v>
      </c>
      <c r="E294" s="227" t="s">
        <v>53</v>
      </c>
      <c r="F294" s="227" t="s">
        <v>54</v>
      </c>
      <c r="G294" s="229">
        <f ca="1">OFFSET(INDIRECT(rtI.Anker3a),18,2)</f>
        <v>0</v>
      </c>
      <c r="H294" s="227" t="str">
        <f t="shared" ca="1" si="20"/>
        <v/>
      </c>
      <c r="I294" s="227" t="str">
        <f t="shared" ca="1" si="24"/>
        <v/>
      </c>
      <c r="J294" s="227" t="str">
        <f t="shared" ca="1" si="21"/>
        <v/>
      </c>
      <c r="K294" s="230" t="str">
        <f t="shared" ca="1" si="22"/>
        <v/>
      </c>
      <c r="L294" s="231" t="str">
        <f t="shared" ca="1" si="23"/>
        <v/>
      </c>
    </row>
    <row r="295" spans="1:12" x14ac:dyDescent="0.25">
      <c r="A295" s="227" t="str">
        <f>TEXT('1 Récapitulation'!$E$10 &amp; "-SHR","@")</f>
        <v>-SHR</v>
      </c>
      <c r="B295" s="228" t="str">
        <f ca="1">TEXT(IF(G295&lt;&gt; 0,OFFSET(INDIRECT(rtI.Anker3a),19,0),""),"@")</f>
        <v/>
      </c>
      <c r="C295" s="227" t="s">
        <v>10</v>
      </c>
      <c r="D295" s="227" t="s">
        <v>52</v>
      </c>
      <c r="E295" s="227" t="s">
        <v>53</v>
      </c>
      <c r="F295" s="227" t="s">
        <v>54</v>
      </c>
      <c r="G295" s="229">
        <f ca="1">OFFSET(INDIRECT(rtI.Anker3a),19,2)</f>
        <v>0</v>
      </c>
      <c r="H295" s="227" t="str">
        <f t="shared" ca="1" si="20"/>
        <v/>
      </c>
      <c r="I295" s="227" t="str">
        <f t="shared" ca="1" si="24"/>
        <v/>
      </c>
      <c r="J295" s="227" t="str">
        <f t="shared" ca="1" si="21"/>
        <v/>
      </c>
      <c r="K295" s="230" t="str">
        <f t="shared" ca="1" si="22"/>
        <v/>
      </c>
      <c r="L295" s="231" t="str">
        <f t="shared" ca="1" si="23"/>
        <v/>
      </c>
    </row>
    <row r="296" spans="1:12" x14ac:dyDescent="0.25">
      <c r="A296" s="227" t="str">
        <f>TEXT('1 Récapitulation'!$E$10 &amp; "-SHR","@")</f>
        <v>-SHR</v>
      </c>
      <c r="B296" s="228" t="str">
        <f ca="1">TEXT(IF(G296&lt;&gt; 0,OFFSET(INDIRECT(rtI.Anker3a),20,0),""),"@")</f>
        <v/>
      </c>
      <c r="C296" s="227" t="s">
        <v>10</v>
      </c>
      <c r="D296" s="227" t="s">
        <v>52</v>
      </c>
      <c r="E296" s="227" t="s">
        <v>53</v>
      </c>
      <c r="F296" s="227" t="s">
        <v>54</v>
      </c>
      <c r="G296" s="229">
        <f ca="1">OFFSET(INDIRECT(rtI.Anker3a),20,2)</f>
        <v>0</v>
      </c>
      <c r="H296" s="227" t="str">
        <f t="shared" ca="1" si="20"/>
        <v/>
      </c>
      <c r="I296" s="227" t="str">
        <f t="shared" ca="1" si="24"/>
        <v/>
      </c>
      <c r="J296" s="227" t="str">
        <f t="shared" ca="1" si="21"/>
        <v/>
      </c>
      <c r="K296" s="230" t="str">
        <f t="shared" ca="1" si="22"/>
        <v/>
      </c>
      <c r="L296" s="231" t="str">
        <f t="shared" ca="1" si="23"/>
        <v/>
      </c>
    </row>
    <row r="297" spans="1:12" x14ac:dyDescent="0.25">
      <c r="A297" s="227" t="str">
        <f>TEXT('1 Récapitulation'!$E$10 &amp; "-SHR","@")</f>
        <v>-SHR</v>
      </c>
      <c r="B297" s="228" t="str">
        <f ca="1">TEXT(IF(G297&lt;&gt; 0,OFFSET(INDIRECT(rtI.Anker3a),21,0),""),"@")</f>
        <v/>
      </c>
      <c r="C297" s="227" t="s">
        <v>10</v>
      </c>
      <c r="D297" s="227" t="s">
        <v>52</v>
      </c>
      <c r="E297" s="227" t="s">
        <v>53</v>
      </c>
      <c r="F297" s="227" t="s">
        <v>54</v>
      </c>
      <c r="G297" s="229">
        <f ca="1">OFFSET(INDIRECT(rtI.Anker3a),21,2)</f>
        <v>0</v>
      </c>
      <c r="H297" s="227" t="str">
        <f t="shared" ca="1" si="20"/>
        <v/>
      </c>
      <c r="I297" s="227" t="str">
        <f t="shared" ca="1" si="24"/>
        <v/>
      </c>
      <c r="J297" s="227" t="str">
        <f t="shared" ca="1" si="21"/>
        <v/>
      </c>
      <c r="K297" s="230" t="str">
        <f t="shared" ca="1" si="22"/>
        <v/>
      </c>
      <c r="L297" s="231" t="str">
        <f t="shared" ca="1" si="23"/>
        <v/>
      </c>
    </row>
    <row r="298" spans="1:12" x14ac:dyDescent="0.25">
      <c r="A298" s="227" t="str">
        <f>TEXT('1 Récapitulation'!$E$10 &amp; "-SHR","@")</f>
        <v>-SHR</v>
      </c>
      <c r="B298" s="228" t="str">
        <f ca="1">TEXT(IF(G298&lt;&gt; 0,OFFSET(INDIRECT(rtI.Anker3a),22,0),""),"@")</f>
        <v/>
      </c>
      <c r="C298" s="227" t="s">
        <v>10</v>
      </c>
      <c r="D298" s="227" t="s">
        <v>52</v>
      </c>
      <c r="E298" s="227" t="s">
        <v>53</v>
      </c>
      <c r="F298" s="227" t="s">
        <v>54</v>
      </c>
      <c r="G298" s="229">
        <f ca="1">OFFSET(INDIRECT(rtI.Anker3a),22,2)</f>
        <v>0</v>
      </c>
      <c r="H298" s="227" t="str">
        <f t="shared" ca="1" si="20"/>
        <v/>
      </c>
      <c r="I298" s="227" t="str">
        <f t="shared" ca="1" si="24"/>
        <v/>
      </c>
      <c r="J298" s="227" t="str">
        <f t="shared" ca="1" si="21"/>
        <v/>
      </c>
      <c r="K298" s="230" t="str">
        <f t="shared" ca="1" si="22"/>
        <v/>
      </c>
      <c r="L298" s="231" t="str">
        <f t="shared" ca="1" si="23"/>
        <v/>
      </c>
    </row>
    <row r="299" spans="1:12" x14ac:dyDescent="0.25">
      <c r="A299" s="227" t="str">
        <f>TEXT('1 Récapitulation'!$E$10 &amp; "-SHR","@")</f>
        <v>-SHR</v>
      </c>
      <c r="B299" s="228" t="str">
        <f ca="1">TEXT(IF(G299&lt;&gt; 0,OFFSET(INDIRECT(rtI.Anker3a),23,0),""),"@")</f>
        <v/>
      </c>
      <c r="C299" s="227" t="s">
        <v>10</v>
      </c>
      <c r="D299" s="227" t="s">
        <v>52</v>
      </c>
      <c r="E299" s="227" t="s">
        <v>53</v>
      </c>
      <c r="F299" s="227" t="s">
        <v>54</v>
      </c>
      <c r="G299" s="229">
        <f ca="1">OFFSET(INDIRECT(rtI.Anker3a),23,2)</f>
        <v>0</v>
      </c>
      <c r="H299" s="227" t="str">
        <f t="shared" ca="1" si="20"/>
        <v/>
      </c>
      <c r="I299" s="227" t="str">
        <f t="shared" ca="1" si="24"/>
        <v/>
      </c>
      <c r="J299" s="227" t="str">
        <f t="shared" ca="1" si="21"/>
        <v/>
      </c>
      <c r="K299" s="230" t="str">
        <f t="shared" ca="1" si="22"/>
        <v/>
      </c>
      <c r="L299" s="231" t="str">
        <f t="shared" ca="1" si="23"/>
        <v/>
      </c>
    </row>
    <row r="300" spans="1:12" x14ac:dyDescent="0.25">
      <c r="A300" s="227" t="str">
        <f>TEXT('1 Récapitulation'!$E$10 &amp; "-SHR","@")</f>
        <v>-SHR</v>
      </c>
      <c r="B300" s="228" t="str">
        <f ca="1">TEXT(IF(G300&lt;&gt; 0,OFFSET(INDIRECT(rtI.Anker3a),24,0),""),"@")</f>
        <v/>
      </c>
      <c r="C300" s="227" t="s">
        <v>10</v>
      </c>
      <c r="D300" s="227" t="s">
        <v>52</v>
      </c>
      <c r="E300" s="227" t="s">
        <v>53</v>
      </c>
      <c r="F300" s="227" t="s">
        <v>54</v>
      </c>
      <c r="G300" s="229">
        <f ca="1">OFFSET(INDIRECT(rtI.Anker3a),24,2)</f>
        <v>0</v>
      </c>
      <c r="H300" s="227" t="str">
        <f t="shared" ca="1" si="20"/>
        <v/>
      </c>
      <c r="I300" s="227" t="str">
        <f t="shared" ca="1" si="24"/>
        <v/>
      </c>
      <c r="J300" s="227" t="str">
        <f t="shared" ca="1" si="21"/>
        <v/>
      </c>
      <c r="K300" s="230" t="str">
        <f t="shared" ca="1" si="22"/>
        <v/>
      </c>
      <c r="L300" s="231" t="str">
        <f t="shared" ca="1" si="23"/>
        <v/>
      </c>
    </row>
    <row r="301" spans="1:12" x14ac:dyDescent="0.25">
      <c r="A301" s="227" t="str">
        <f>TEXT('1 Récapitulation'!$E$10 &amp; "-SHR","@")</f>
        <v>-SHR</v>
      </c>
      <c r="B301" s="228" t="str">
        <f ca="1">TEXT(IF(G301&lt;&gt; 0,OFFSET(INDIRECT(rtI.Anker3a),25,0),""),"@")</f>
        <v/>
      </c>
      <c r="C301" s="227" t="s">
        <v>10</v>
      </c>
      <c r="D301" s="227" t="s">
        <v>52</v>
      </c>
      <c r="E301" s="227" t="s">
        <v>53</v>
      </c>
      <c r="F301" s="227" t="s">
        <v>54</v>
      </c>
      <c r="G301" s="229">
        <f ca="1">OFFSET(INDIRECT(rtI.Anker3a),25,2)</f>
        <v>0</v>
      </c>
      <c r="H301" s="227" t="str">
        <f t="shared" ca="1" si="20"/>
        <v/>
      </c>
      <c r="I301" s="227" t="str">
        <f t="shared" ca="1" si="24"/>
        <v/>
      </c>
      <c r="J301" s="227" t="str">
        <f t="shared" ca="1" si="21"/>
        <v/>
      </c>
      <c r="K301" s="230" t="str">
        <f t="shared" ca="1" si="22"/>
        <v/>
      </c>
      <c r="L301" s="231" t="str">
        <f t="shared" ca="1" si="23"/>
        <v/>
      </c>
    </row>
    <row r="302" spans="1:12" x14ac:dyDescent="0.25">
      <c r="A302" s="227" t="str">
        <f>TEXT('1 Récapitulation'!$E$10 &amp; "-SHR","@")</f>
        <v>-SHR</v>
      </c>
      <c r="B302" s="228" t="str">
        <f ca="1">TEXT(IF(G302&lt;&gt; 0,OFFSET(INDIRECT(rtI.Anker3a),26,0),""),"@")</f>
        <v/>
      </c>
      <c r="C302" s="227" t="s">
        <v>10</v>
      </c>
      <c r="D302" s="227" t="s">
        <v>52</v>
      </c>
      <c r="E302" s="227" t="s">
        <v>53</v>
      </c>
      <c r="F302" s="227" t="s">
        <v>54</v>
      </c>
      <c r="G302" s="229">
        <f ca="1">OFFSET(INDIRECT(rtI.Anker3a),26,2)</f>
        <v>0</v>
      </c>
      <c r="H302" s="227" t="str">
        <f t="shared" ca="1" si="20"/>
        <v/>
      </c>
      <c r="I302" s="227" t="str">
        <f t="shared" ca="1" si="24"/>
        <v/>
      </c>
      <c r="J302" s="227" t="str">
        <f t="shared" ca="1" si="21"/>
        <v/>
      </c>
      <c r="K302" s="230" t="str">
        <f t="shared" ca="1" si="22"/>
        <v/>
      </c>
      <c r="L302" s="231" t="str">
        <f t="shared" ca="1" si="23"/>
        <v/>
      </c>
    </row>
    <row r="303" spans="1:12" x14ac:dyDescent="0.25">
      <c r="A303" s="227" t="str">
        <f>TEXT('1 Récapitulation'!$E$10 &amp; "-SHR","@")</f>
        <v>-SHR</v>
      </c>
      <c r="B303" s="228" t="str">
        <f ca="1">TEXT(IF(G303&lt;&gt; 0,OFFSET(INDIRECT(rtI.Anker3a),27,0),""),"@")</f>
        <v/>
      </c>
      <c r="C303" s="227" t="s">
        <v>10</v>
      </c>
      <c r="D303" s="227" t="s">
        <v>52</v>
      </c>
      <c r="E303" s="227" t="s">
        <v>53</v>
      </c>
      <c r="F303" s="227" t="s">
        <v>54</v>
      </c>
      <c r="G303" s="229">
        <f ca="1">OFFSET(INDIRECT(rtI.Anker3a),27,2)</f>
        <v>0</v>
      </c>
      <c r="H303" s="227" t="str">
        <f t="shared" ca="1" si="20"/>
        <v/>
      </c>
      <c r="I303" s="227" t="str">
        <f t="shared" ca="1" si="24"/>
        <v/>
      </c>
      <c r="J303" s="227" t="str">
        <f t="shared" ca="1" si="21"/>
        <v/>
      </c>
      <c r="K303" s="230" t="str">
        <f t="shared" ca="1" si="22"/>
        <v/>
      </c>
      <c r="L303" s="231" t="str">
        <f t="shared" ca="1" si="23"/>
        <v/>
      </c>
    </row>
    <row r="304" spans="1:12" x14ac:dyDescent="0.25">
      <c r="A304" s="227" t="str">
        <f>TEXT('1 Récapitulation'!$E$10 &amp; "-SHR","@")</f>
        <v>-SHR</v>
      </c>
      <c r="B304" s="228" t="str">
        <f ca="1">TEXT(IF(G304&lt;&gt; 0,OFFSET(INDIRECT(rtI.Anker3a),28,0),""),"@")</f>
        <v/>
      </c>
      <c r="C304" s="227" t="s">
        <v>10</v>
      </c>
      <c r="D304" s="227" t="s">
        <v>52</v>
      </c>
      <c r="E304" s="227" t="s">
        <v>53</v>
      </c>
      <c r="F304" s="227" t="s">
        <v>54</v>
      </c>
      <c r="G304" s="229">
        <f ca="1">OFFSET(INDIRECT(rtI.Anker3a),28,2)</f>
        <v>0</v>
      </c>
      <c r="H304" s="227" t="str">
        <f t="shared" ca="1" si="20"/>
        <v/>
      </c>
      <c r="I304" s="227" t="str">
        <f t="shared" ca="1" si="24"/>
        <v/>
      </c>
      <c r="J304" s="227" t="str">
        <f t="shared" ca="1" si="21"/>
        <v/>
      </c>
      <c r="K304" s="230" t="str">
        <f t="shared" ca="1" si="22"/>
        <v/>
      </c>
      <c r="L304" s="231" t="str">
        <f t="shared" ca="1" si="23"/>
        <v/>
      </c>
    </row>
    <row r="305" spans="1:12" x14ac:dyDescent="0.25">
      <c r="A305" s="227" t="str">
        <f>TEXT('1 Récapitulation'!$E$10 &amp; "-SHR","@")</f>
        <v>-SHR</v>
      </c>
      <c r="B305" s="228" t="str">
        <f ca="1">TEXT(IF(G305&lt;&gt; 0,OFFSET(INDIRECT(rtI.Anker3a),29,0),""),"@")</f>
        <v/>
      </c>
      <c r="C305" s="227" t="s">
        <v>10</v>
      </c>
      <c r="D305" s="227" t="s">
        <v>52</v>
      </c>
      <c r="E305" s="227" t="s">
        <v>53</v>
      </c>
      <c r="F305" s="227" t="s">
        <v>54</v>
      </c>
      <c r="G305" s="229">
        <f ca="1">OFFSET(INDIRECT(rtI.Anker3a),29,2)</f>
        <v>0</v>
      </c>
      <c r="H305" s="227" t="str">
        <f t="shared" ca="1" si="20"/>
        <v/>
      </c>
      <c r="I305" s="227" t="str">
        <f t="shared" ca="1" si="24"/>
        <v/>
      </c>
      <c r="J305" s="227" t="str">
        <f t="shared" ca="1" si="21"/>
        <v/>
      </c>
      <c r="K305" s="230" t="str">
        <f t="shared" ca="1" si="22"/>
        <v/>
      </c>
      <c r="L305" s="231" t="str">
        <f t="shared" ca="1" si="23"/>
        <v/>
      </c>
    </row>
    <row r="306" spans="1:12" x14ac:dyDescent="0.25">
      <c r="A306" s="227" t="str">
        <f>TEXT('1 Récapitulation'!$E$10 &amp; "-SHR","@")</f>
        <v>-SHR</v>
      </c>
      <c r="B306" s="228" t="str">
        <f ca="1">TEXT(IF(G306&lt;&gt; 0,OFFSET(INDIRECT(rtI.Anker3a),30,0),""),"@")</f>
        <v/>
      </c>
      <c r="C306" s="227" t="s">
        <v>10</v>
      </c>
      <c r="D306" s="227" t="s">
        <v>52</v>
      </c>
      <c r="E306" s="227" t="s">
        <v>53</v>
      </c>
      <c r="F306" s="227" t="s">
        <v>54</v>
      </c>
      <c r="G306" s="229">
        <f ca="1">OFFSET(INDIRECT(rtI.Anker3a),30,2)</f>
        <v>0</v>
      </c>
      <c r="H306" s="227" t="str">
        <f t="shared" ca="1" si="20"/>
        <v/>
      </c>
      <c r="I306" s="227" t="str">
        <f t="shared" ca="1" si="24"/>
        <v/>
      </c>
      <c r="J306" s="227" t="str">
        <f t="shared" ca="1" si="21"/>
        <v/>
      </c>
      <c r="K306" s="230" t="str">
        <f t="shared" ca="1" si="22"/>
        <v/>
      </c>
      <c r="L306" s="231" t="str">
        <f t="shared" ca="1" si="23"/>
        <v/>
      </c>
    </row>
    <row r="307" spans="1:12" x14ac:dyDescent="0.25">
      <c r="A307" s="227" t="str">
        <f>TEXT('1 Récapitulation'!$E$10 &amp; "-SHR","@")</f>
        <v>-SHR</v>
      </c>
      <c r="B307" s="228" t="str">
        <f ca="1">TEXT(IF(G307&lt;&gt; 0,OFFSET(INDIRECT(rtI.Anker3a),31,0),""),"@")</f>
        <v/>
      </c>
      <c r="C307" s="227" t="s">
        <v>10</v>
      </c>
      <c r="D307" s="227" t="s">
        <v>52</v>
      </c>
      <c r="E307" s="227" t="s">
        <v>53</v>
      </c>
      <c r="F307" s="227" t="s">
        <v>54</v>
      </c>
      <c r="G307" s="229">
        <f ca="1">OFFSET(INDIRECT(rtI.Anker3a),31,2)</f>
        <v>0</v>
      </c>
      <c r="H307" s="227" t="str">
        <f t="shared" ca="1" si="20"/>
        <v/>
      </c>
      <c r="I307" s="227" t="str">
        <f t="shared" ca="1" si="24"/>
        <v/>
      </c>
      <c r="J307" s="227" t="str">
        <f t="shared" ca="1" si="21"/>
        <v/>
      </c>
      <c r="K307" s="230" t="str">
        <f t="shared" ca="1" si="22"/>
        <v/>
      </c>
      <c r="L307" s="231" t="str">
        <f t="shared" ca="1" si="23"/>
        <v/>
      </c>
    </row>
    <row r="308" spans="1:12" x14ac:dyDescent="0.25">
      <c r="A308" s="227" t="str">
        <f>TEXT('1 Récapitulation'!$E$10 &amp; "-SHR","@")</f>
        <v>-SHR</v>
      </c>
      <c r="B308" s="228" t="str">
        <f ca="1">TEXT(IF(G308&lt;&gt; 0,OFFSET(INDIRECT(rtI.Anker3a),32,0),""),"@")</f>
        <v/>
      </c>
      <c r="C308" s="227" t="s">
        <v>10</v>
      </c>
      <c r="D308" s="227" t="s">
        <v>52</v>
      </c>
      <c r="E308" s="227" t="s">
        <v>53</v>
      </c>
      <c r="F308" s="227" t="s">
        <v>54</v>
      </c>
      <c r="G308" s="229">
        <f ca="1">OFFSET(INDIRECT(rtI.Anker3a),32,2)</f>
        <v>0</v>
      </c>
      <c r="H308" s="227" t="str">
        <f t="shared" ca="1" si="20"/>
        <v/>
      </c>
      <c r="I308" s="227" t="str">
        <f t="shared" ca="1" si="24"/>
        <v/>
      </c>
      <c r="J308" s="227" t="str">
        <f t="shared" ca="1" si="21"/>
        <v/>
      </c>
      <c r="K308" s="230" t="str">
        <f t="shared" ca="1" si="22"/>
        <v/>
      </c>
      <c r="L308" s="231" t="str">
        <f t="shared" ca="1" si="23"/>
        <v/>
      </c>
    </row>
    <row r="309" spans="1:12" x14ac:dyDescent="0.25">
      <c r="A309" s="227" t="str">
        <f>TEXT('1 Récapitulation'!$E$10 &amp; "-SHR","@")</f>
        <v>-SHR</v>
      </c>
      <c r="B309" s="228" t="str">
        <f ca="1">TEXT(IF(G309&lt;&gt; 0,OFFSET(INDIRECT(rtI.Anker3a),33,0),""),"@")</f>
        <v/>
      </c>
      <c r="C309" s="227" t="s">
        <v>10</v>
      </c>
      <c r="D309" s="227" t="s">
        <v>52</v>
      </c>
      <c r="E309" s="227" t="s">
        <v>53</v>
      </c>
      <c r="F309" s="227" t="s">
        <v>54</v>
      </c>
      <c r="G309" s="229">
        <f ca="1">OFFSET(INDIRECT(rtI.Anker3a),33,2)</f>
        <v>0</v>
      </c>
      <c r="H309" s="227" t="str">
        <f t="shared" ca="1" si="20"/>
        <v/>
      </c>
      <c r="I309" s="227" t="str">
        <f t="shared" ca="1" si="24"/>
        <v/>
      </c>
      <c r="J309" s="227" t="str">
        <f t="shared" ca="1" si="21"/>
        <v/>
      </c>
      <c r="K309" s="230" t="str">
        <f t="shared" ca="1" si="22"/>
        <v/>
      </c>
      <c r="L309" s="231" t="str">
        <f t="shared" ca="1" si="23"/>
        <v/>
      </c>
    </row>
    <row r="310" spans="1:12" x14ac:dyDescent="0.25">
      <c r="A310" s="227" t="str">
        <f>TEXT('1 Récapitulation'!$E$10 &amp; "-SHR","@")</f>
        <v>-SHR</v>
      </c>
      <c r="B310" s="228" t="str">
        <f ca="1">TEXT(IF(G310&lt;&gt; 0,OFFSET(INDIRECT(rtI.Anker3a),34,0),""),"@")</f>
        <v/>
      </c>
      <c r="C310" s="227" t="s">
        <v>10</v>
      </c>
      <c r="D310" s="227" t="s">
        <v>52</v>
      </c>
      <c r="E310" s="227" t="s">
        <v>53</v>
      </c>
      <c r="F310" s="227" t="s">
        <v>54</v>
      </c>
      <c r="G310" s="229">
        <f ca="1">OFFSET(INDIRECT(rtI.Anker3a),34,2)</f>
        <v>0</v>
      </c>
      <c r="H310" s="227" t="str">
        <f t="shared" ca="1" si="20"/>
        <v/>
      </c>
      <c r="I310" s="227" t="str">
        <f t="shared" ca="1" si="24"/>
        <v/>
      </c>
      <c r="J310" s="227" t="str">
        <f t="shared" ca="1" si="21"/>
        <v/>
      </c>
      <c r="K310" s="230" t="str">
        <f t="shared" ca="1" si="22"/>
        <v/>
      </c>
      <c r="L310" s="231" t="str">
        <f t="shared" ca="1" si="23"/>
        <v/>
      </c>
    </row>
    <row r="311" spans="1:12" x14ac:dyDescent="0.25">
      <c r="A311" s="227" t="str">
        <f>TEXT('1 Récapitulation'!$E$10 &amp; "-SHR","@")</f>
        <v>-SHR</v>
      </c>
      <c r="B311" s="228" t="str">
        <f ca="1">TEXT(IF(G311&lt;&gt; 0,OFFSET(INDIRECT(rtI.Anker3a),35,0),""),"@")</f>
        <v/>
      </c>
      <c r="C311" s="227" t="s">
        <v>10</v>
      </c>
      <c r="D311" s="227" t="s">
        <v>52</v>
      </c>
      <c r="E311" s="227" t="s">
        <v>53</v>
      </c>
      <c r="F311" s="227" t="s">
        <v>54</v>
      </c>
      <c r="G311" s="229">
        <f ca="1">OFFSET(INDIRECT(rtI.Anker3a),35,2)</f>
        <v>0</v>
      </c>
      <c r="H311" s="227" t="str">
        <f t="shared" ca="1" si="20"/>
        <v/>
      </c>
      <c r="I311" s="227" t="str">
        <f t="shared" ca="1" si="24"/>
        <v/>
      </c>
      <c r="J311" s="227" t="str">
        <f t="shared" ca="1" si="21"/>
        <v/>
      </c>
      <c r="K311" s="230" t="str">
        <f t="shared" ca="1" si="22"/>
        <v/>
      </c>
      <c r="L311" s="231" t="str">
        <f t="shared" ca="1" si="23"/>
        <v/>
      </c>
    </row>
    <row r="312" spans="1:12" x14ac:dyDescent="0.25">
      <c r="A312" s="227" t="str">
        <f>TEXT('1 Récapitulation'!$E$10 &amp; "-SHR","@")</f>
        <v>-SHR</v>
      </c>
      <c r="B312" s="228" t="str">
        <f ca="1">TEXT(IF(G312&lt;&gt; 0,OFFSET(INDIRECT(rtI.Anker3a),36,0),""),"@")</f>
        <v/>
      </c>
      <c r="C312" s="227" t="s">
        <v>10</v>
      </c>
      <c r="D312" s="227" t="s">
        <v>52</v>
      </c>
      <c r="E312" s="227" t="s">
        <v>53</v>
      </c>
      <c r="F312" s="227" t="s">
        <v>54</v>
      </c>
      <c r="G312" s="229">
        <f ca="1">OFFSET(INDIRECT(rtI.Anker3a),36,2)</f>
        <v>0</v>
      </c>
      <c r="H312" s="227" t="str">
        <f t="shared" ca="1" si="20"/>
        <v/>
      </c>
      <c r="I312" s="227" t="str">
        <f t="shared" ca="1" si="24"/>
        <v/>
      </c>
      <c r="J312" s="227" t="str">
        <f t="shared" ca="1" si="21"/>
        <v/>
      </c>
      <c r="K312" s="230" t="str">
        <f t="shared" ca="1" si="22"/>
        <v/>
      </c>
      <c r="L312" s="231" t="str">
        <f t="shared" ca="1" si="23"/>
        <v/>
      </c>
    </row>
    <row r="313" spans="1:12" x14ac:dyDescent="0.25">
      <c r="A313" s="227" t="str">
        <f>TEXT('1 Récapitulation'!$E$10 &amp; "-SHR","@")</f>
        <v>-SHR</v>
      </c>
      <c r="B313" s="228" t="str">
        <f ca="1">TEXT(IF(G313&lt;&gt; 0,OFFSET(INDIRECT(rtI.Anker3a),37,0),""),"@")</f>
        <v/>
      </c>
      <c r="C313" s="227" t="s">
        <v>10</v>
      </c>
      <c r="D313" s="227" t="s">
        <v>52</v>
      </c>
      <c r="E313" s="227" t="s">
        <v>53</v>
      </c>
      <c r="F313" s="227" t="s">
        <v>54</v>
      </c>
      <c r="G313" s="229">
        <f ca="1">OFFSET(INDIRECT(rtI.Anker3a),37,2)</f>
        <v>0</v>
      </c>
      <c r="H313" s="227" t="str">
        <f t="shared" ca="1" si="20"/>
        <v/>
      </c>
      <c r="I313" s="227" t="str">
        <f t="shared" ca="1" si="24"/>
        <v/>
      </c>
      <c r="J313" s="227" t="str">
        <f t="shared" ca="1" si="21"/>
        <v/>
      </c>
      <c r="K313" s="230" t="str">
        <f t="shared" ca="1" si="22"/>
        <v/>
      </c>
      <c r="L313" s="231" t="str">
        <f t="shared" ca="1" si="23"/>
        <v/>
      </c>
    </row>
    <row r="314" spans="1:12" x14ac:dyDescent="0.25">
      <c r="A314" s="227" t="str">
        <f>TEXT('1 Récapitulation'!$E$10 &amp; "-SHR","@")</f>
        <v>-SHR</v>
      </c>
      <c r="B314" s="228" t="str">
        <f ca="1">TEXT(IF(G314&lt;&gt; 0,OFFSET(INDIRECT(rtI.Anker3a),0,0),""),"@")</f>
        <v/>
      </c>
      <c r="C314" s="227" t="s">
        <v>10</v>
      </c>
      <c r="D314" s="227" t="s">
        <v>2</v>
      </c>
      <c r="E314" s="227" t="s">
        <v>53</v>
      </c>
      <c r="F314" s="227" t="s">
        <v>42</v>
      </c>
      <c r="G314" s="229">
        <f ca="1">OFFSET(INDIRECT(rtI.Anker3a),0,4)</f>
        <v>0</v>
      </c>
      <c r="H314" s="227" t="str">
        <f t="shared" ca="1" si="20"/>
        <v/>
      </c>
      <c r="I314" s="227" t="str">
        <f t="shared" ca="1" si="24"/>
        <v/>
      </c>
      <c r="J314" s="227" t="str">
        <f t="shared" ca="1" si="21"/>
        <v/>
      </c>
      <c r="K314" s="230" t="str">
        <f t="shared" ca="1" si="22"/>
        <v/>
      </c>
      <c r="L314" s="231" t="str">
        <f t="shared" ca="1" si="23"/>
        <v/>
      </c>
    </row>
    <row r="315" spans="1:12" x14ac:dyDescent="0.25">
      <c r="A315" s="227" t="str">
        <f>TEXT('1 Récapitulation'!$E$10 &amp; "-SHR","@")</f>
        <v>-SHR</v>
      </c>
      <c r="B315" s="228" t="str">
        <f ca="1">TEXT(IF(G315&lt;&gt; 0,OFFSET(INDIRECT(rtI.Anker3a),1,0),""),"@")</f>
        <v/>
      </c>
      <c r="C315" s="227" t="s">
        <v>10</v>
      </c>
      <c r="D315" s="227" t="s">
        <v>2</v>
      </c>
      <c r="E315" s="227" t="s">
        <v>53</v>
      </c>
      <c r="F315" s="227" t="s">
        <v>42</v>
      </c>
      <c r="G315" s="229">
        <f ca="1">OFFSET(INDIRECT(rtI.Anker3a),1,4)</f>
        <v>0</v>
      </c>
      <c r="H315" s="227" t="str">
        <f t="shared" ca="1" si="20"/>
        <v/>
      </c>
      <c r="I315" s="227" t="str">
        <f t="shared" ca="1" si="24"/>
        <v/>
      </c>
      <c r="J315" s="227" t="str">
        <f t="shared" ca="1" si="21"/>
        <v/>
      </c>
      <c r="K315" s="230" t="str">
        <f t="shared" ca="1" si="22"/>
        <v/>
      </c>
      <c r="L315" s="231" t="str">
        <f t="shared" ca="1" si="23"/>
        <v/>
      </c>
    </row>
    <row r="316" spans="1:12" x14ac:dyDescent="0.25">
      <c r="A316" s="227" t="str">
        <f>TEXT('1 Récapitulation'!$E$10 &amp; "-SHR","@")</f>
        <v>-SHR</v>
      </c>
      <c r="B316" s="228" t="str">
        <f ca="1">TEXT(IF(G316&lt;&gt; 0,OFFSET(INDIRECT(rtI.Anker3a),2,0),""),"@")</f>
        <v/>
      </c>
      <c r="C316" s="227" t="s">
        <v>10</v>
      </c>
      <c r="D316" s="227" t="s">
        <v>2</v>
      </c>
      <c r="E316" s="227" t="s">
        <v>53</v>
      </c>
      <c r="F316" s="227" t="s">
        <v>42</v>
      </c>
      <c r="G316" s="229">
        <f ca="1">OFFSET(INDIRECT(rtI.Anker3a),2,4)</f>
        <v>0</v>
      </c>
      <c r="H316" s="227" t="str">
        <f t="shared" ca="1" si="20"/>
        <v/>
      </c>
      <c r="I316" s="227" t="str">
        <f t="shared" ca="1" si="24"/>
        <v/>
      </c>
      <c r="J316" s="227" t="str">
        <f t="shared" ca="1" si="21"/>
        <v/>
      </c>
      <c r="K316" s="230" t="str">
        <f t="shared" ca="1" si="22"/>
        <v/>
      </c>
      <c r="L316" s="231" t="str">
        <f t="shared" ca="1" si="23"/>
        <v/>
      </c>
    </row>
    <row r="317" spans="1:12" x14ac:dyDescent="0.25">
      <c r="A317" s="227" t="str">
        <f>TEXT('1 Récapitulation'!$E$10 &amp; "-SHR","@")</f>
        <v>-SHR</v>
      </c>
      <c r="B317" s="228" t="str">
        <f ca="1">TEXT(IF(G317&lt;&gt; 0,OFFSET(INDIRECT(rtI.Anker3a),3,0),""),"@")</f>
        <v/>
      </c>
      <c r="C317" s="227" t="s">
        <v>10</v>
      </c>
      <c r="D317" s="227" t="s">
        <v>2</v>
      </c>
      <c r="E317" s="227" t="s">
        <v>53</v>
      </c>
      <c r="F317" s="227" t="s">
        <v>42</v>
      </c>
      <c r="G317" s="229">
        <f ca="1">OFFSET(INDIRECT(rtI.Anker3a),3,4)</f>
        <v>0</v>
      </c>
      <c r="H317" s="227" t="str">
        <f t="shared" ca="1" si="20"/>
        <v/>
      </c>
      <c r="I317" s="227" t="str">
        <f t="shared" ca="1" si="24"/>
        <v/>
      </c>
      <c r="J317" s="227" t="str">
        <f t="shared" ca="1" si="21"/>
        <v/>
      </c>
      <c r="K317" s="230" t="str">
        <f t="shared" ca="1" si="22"/>
        <v/>
      </c>
      <c r="L317" s="231" t="str">
        <f t="shared" ca="1" si="23"/>
        <v/>
      </c>
    </row>
    <row r="318" spans="1:12" x14ac:dyDescent="0.25">
      <c r="A318" s="227" t="str">
        <f>TEXT('1 Récapitulation'!$E$10 &amp; "-SHR","@")</f>
        <v>-SHR</v>
      </c>
      <c r="B318" s="228" t="str">
        <f ca="1">TEXT(IF(G318&lt;&gt; 0,OFFSET(INDIRECT(rtI.Anker3a),4,0),""),"@")</f>
        <v/>
      </c>
      <c r="C318" s="227" t="s">
        <v>10</v>
      </c>
      <c r="D318" s="227" t="s">
        <v>2</v>
      </c>
      <c r="E318" s="227" t="s">
        <v>53</v>
      </c>
      <c r="F318" s="227" t="s">
        <v>42</v>
      </c>
      <c r="G318" s="229">
        <f ca="1">OFFSET(INDIRECT(rtI.Anker3a),4,4)</f>
        <v>0</v>
      </c>
      <c r="H318" s="227" t="str">
        <f t="shared" ca="1" si="20"/>
        <v/>
      </c>
      <c r="I318" s="227" t="str">
        <f t="shared" ca="1" si="24"/>
        <v/>
      </c>
      <c r="J318" s="227" t="str">
        <f t="shared" ca="1" si="21"/>
        <v/>
      </c>
      <c r="K318" s="230" t="str">
        <f t="shared" ca="1" si="22"/>
        <v/>
      </c>
      <c r="L318" s="231" t="str">
        <f t="shared" ca="1" si="23"/>
        <v/>
      </c>
    </row>
    <row r="319" spans="1:12" x14ac:dyDescent="0.25">
      <c r="A319" s="227" t="str">
        <f>TEXT('1 Récapitulation'!$E$10 &amp; "-SHR","@")</f>
        <v>-SHR</v>
      </c>
      <c r="B319" s="228" t="str">
        <f ca="1">TEXT(IF(G319&lt;&gt; 0,OFFSET(INDIRECT(rtI.Anker3a),5,0),""),"@")</f>
        <v/>
      </c>
      <c r="C319" s="227" t="s">
        <v>10</v>
      </c>
      <c r="D319" s="227" t="s">
        <v>2</v>
      </c>
      <c r="E319" s="227" t="s">
        <v>53</v>
      </c>
      <c r="F319" s="227" t="s">
        <v>42</v>
      </c>
      <c r="G319" s="229">
        <f ca="1">OFFSET(INDIRECT(rtI.Anker3a),5,4)</f>
        <v>0</v>
      </c>
      <c r="H319" s="227" t="str">
        <f t="shared" ca="1" si="20"/>
        <v/>
      </c>
      <c r="I319" s="227" t="str">
        <f t="shared" ca="1" si="24"/>
        <v/>
      </c>
      <c r="J319" s="227" t="str">
        <f t="shared" ca="1" si="21"/>
        <v/>
      </c>
      <c r="K319" s="230" t="str">
        <f t="shared" ca="1" si="22"/>
        <v/>
      </c>
      <c r="L319" s="231" t="str">
        <f t="shared" ca="1" si="23"/>
        <v/>
      </c>
    </row>
    <row r="320" spans="1:12" x14ac:dyDescent="0.25">
      <c r="A320" s="227" t="str">
        <f>TEXT('1 Récapitulation'!$E$10 &amp; "-SHR","@")</f>
        <v>-SHR</v>
      </c>
      <c r="B320" s="228" t="str">
        <f ca="1">TEXT(IF(G320&lt;&gt; 0,OFFSET(INDIRECT(rtI.Anker3a),6,0),""),"@")</f>
        <v/>
      </c>
      <c r="C320" s="227" t="s">
        <v>10</v>
      </c>
      <c r="D320" s="227" t="s">
        <v>2</v>
      </c>
      <c r="E320" s="227" t="s">
        <v>53</v>
      </c>
      <c r="F320" s="227" t="s">
        <v>42</v>
      </c>
      <c r="G320" s="229">
        <f ca="1">OFFSET(INDIRECT(rtI.Anker3a),6,4)</f>
        <v>0</v>
      </c>
      <c r="H320" s="227" t="str">
        <f t="shared" ca="1" si="20"/>
        <v/>
      </c>
      <c r="I320" s="227" t="str">
        <f t="shared" ca="1" si="24"/>
        <v/>
      </c>
      <c r="J320" s="227" t="str">
        <f t="shared" ca="1" si="21"/>
        <v/>
      </c>
      <c r="K320" s="230" t="str">
        <f t="shared" ca="1" si="22"/>
        <v/>
      </c>
      <c r="L320" s="231" t="str">
        <f t="shared" ca="1" si="23"/>
        <v/>
      </c>
    </row>
    <row r="321" spans="1:12" x14ac:dyDescent="0.25">
      <c r="A321" s="227" t="str">
        <f>TEXT('1 Récapitulation'!$E$10 &amp; "-SHR","@")</f>
        <v>-SHR</v>
      </c>
      <c r="B321" s="228" t="str">
        <f ca="1">TEXT(IF(G321&lt;&gt; 0,OFFSET(INDIRECT(rtI.Anker3a),7,0),""),"@")</f>
        <v/>
      </c>
      <c r="C321" s="227" t="s">
        <v>10</v>
      </c>
      <c r="D321" s="227" t="s">
        <v>2</v>
      </c>
      <c r="E321" s="227" t="s">
        <v>53</v>
      </c>
      <c r="F321" s="227" t="s">
        <v>42</v>
      </c>
      <c r="G321" s="229">
        <f ca="1">OFFSET(INDIRECT(rtI.Anker3a),7,4)</f>
        <v>0</v>
      </c>
      <c r="H321" s="227" t="str">
        <f t="shared" ca="1" si="20"/>
        <v/>
      </c>
      <c r="I321" s="227" t="str">
        <f t="shared" ca="1" si="24"/>
        <v/>
      </c>
      <c r="J321" s="227" t="str">
        <f t="shared" ca="1" si="21"/>
        <v/>
      </c>
      <c r="K321" s="230" t="str">
        <f t="shared" ca="1" si="22"/>
        <v/>
      </c>
      <c r="L321" s="231" t="str">
        <f t="shared" ca="1" si="23"/>
        <v/>
      </c>
    </row>
    <row r="322" spans="1:12" x14ac:dyDescent="0.25">
      <c r="A322" s="227" t="str">
        <f>TEXT('1 Récapitulation'!$E$10 &amp; "-SHR","@")</f>
        <v>-SHR</v>
      </c>
      <c r="B322" s="228" t="str">
        <f ca="1">TEXT(IF(G322&lt;&gt; 0,OFFSET(INDIRECT(rtI.Anker3a),8,0),""),"@")</f>
        <v/>
      </c>
      <c r="C322" s="227" t="s">
        <v>10</v>
      </c>
      <c r="D322" s="227" t="s">
        <v>2</v>
      </c>
      <c r="E322" s="227" t="s">
        <v>53</v>
      </c>
      <c r="F322" s="227" t="s">
        <v>42</v>
      </c>
      <c r="G322" s="229">
        <f ca="1">OFFSET(INDIRECT(rtI.Anker3a),8,4)</f>
        <v>0</v>
      </c>
      <c r="H322" s="227" t="str">
        <f t="shared" ref="H322:H385" ca="1" si="25">IF(G322&lt;&gt;0,IF(F322="1000","Aufwand",IF(OR(F322="1001",F322="1002",F322="1003",F322="1004",F322="1004",F322="1005",F322="1006"),"Ertrag","")),"")</f>
        <v/>
      </c>
      <c r="I322" s="227" t="str">
        <f t="shared" ca="1" si="24"/>
        <v/>
      </c>
      <c r="J322" s="227" t="str">
        <f t="shared" ref="J322:J385" ca="1" si="26">IF(H322="Aufwand","Total Aufwand",IF(H322="Ertrag","Total Ertrag",""))</f>
        <v/>
      </c>
      <c r="K322" s="230" t="str">
        <f t="shared" ref="K322:K385" ca="1" si="27">IF(H322&lt;&gt;"","999999999.99","")</f>
        <v/>
      </c>
      <c r="L322" s="231" t="str">
        <f t="shared" ref="L322:L385" ca="1" si="28">IF(H322="Aufwand","900",IF(H322="Ertrag","901",""))</f>
        <v/>
      </c>
    </row>
    <row r="323" spans="1:12" x14ac:dyDescent="0.25">
      <c r="A323" s="227" t="str">
        <f>TEXT('1 Récapitulation'!$E$10 &amp; "-SHR","@")</f>
        <v>-SHR</v>
      </c>
      <c r="B323" s="228" t="str">
        <f ca="1">TEXT(IF(G323&lt;&gt; 0,OFFSET(INDIRECT(rtI.Anker3a),9,0),""),"@")</f>
        <v/>
      </c>
      <c r="C323" s="227" t="s">
        <v>10</v>
      </c>
      <c r="D323" s="227" t="s">
        <v>2</v>
      </c>
      <c r="E323" s="227" t="s">
        <v>53</v>
      </c>
      <c r="F323" s="227" t="s">
        <v>42</v>
      </c>
      <c r="G323" s="229">
        <f ca="1">OFFSET(INDIRECT(rtI.Anker3a),9,4)</f>
        <v>0</v>
      </c>
      <c r="H323" s="227" t="str">
        <f t="shared" ca="1" si="25"/>
        <v/>
      </c>
      <c r="I323" s="227" t="str">
        <f t="shared" ref="I323:I386" ca="1" si="29">IF(H323&lt;&gt;"","Total","")</f>
        <v/>
      </c>
      <c r="J323" s="227" t="str">
        <f t="shared" ca="1" si="26"/>
        <v/>
      </c>
      <c r="K323" s="230" t="str">
        <f t="shared" ca="1" si="27"/>
        <v/>
      </c>
      <c r="L323" s="231" t="str">
        <f t="shared" ca="1" si="28"/>
        <v/>
      </c>
    </row>
    <row r="324" spans="1:12" x14ac:dyDescent="0.25">
      <c r="A324" s="227" t="str">
        <f>TEXT('1 Récapitulation'!$E$10 &amp; "-SHR","@")</f>
        <v>-SHR</v>
      </c>
      <c r="B324" s="228" t="str">
        <f ca="1">TEXT(IF(G324&lt;&gt; 0,OFFSET(INDIRECT(rtI.Anker3a),10,0),""),"@")</f>
        <v/>
      </c>
      <c r="C324" s="227" t="s">
        <v>10</v>
      </c>
      <c r="D324" s="227" t="s">
        <v>2</v>
      </c>
      <c r="E324" s="227" t="s">
        <v>53</v>
      </c>
      <c r="F324" s="227" t="s">
        <v>42</v>
      </c>
      <c r="G324" s="229">
        <f ca="1">OFFSET(INDIRECT(rtI.Anker3a),10,4)</f>
        <v>0</v>
      </c>
      <c r="H324" s="227" t="str">
        <f t="shared" ca="1" si="25"/>
        <v/>
      </c>
      <c r="I324" s="227" t="str">
        <f t="shared" ca="1" si="29"/>
        <v/>
      </c>
      <c r="J324" s="227" t="str">
        <f t="shared" ca="1" si="26"/>
        <v/>
      </c>
      <c r="K324" s="230" t="str">
        <f t="shared" ca="1" si="27"/>
        <v/>
      </c>
      <c r="L324" s="231" t="str">
        <f t="shared" ca="1" si="28"/>
        <v/>
      </c>
    </row>
    <row r="325" spans="1:12" x14ac:dyDescent="0.25">
      <c r="A325" s="227" t="str">
        <f>TEXT('1 Récapitulation'!$E$10 &amp; "-SHR","@")</f>
        <v>-SHR</v>
      </c>
      <c r="B325" s="228" t="str">
        <f ca="1">TEXT(IF(G325&lt;&gt; 0,OFFSET(INDIRECT(rtI.Anker3a),11,0),""),"@")</f>
        <v/>
      </c>
      <c r="C325" s="227" t="s">
        <v>10</v>
      </c>
      <c r="D325" s="227" t="s">
        <v>2</v>
      </c>
      <c r="E325" s="227" t="s">
        <v>53</v>
      </c>
      <c r="F325" s="227" t="s">
        <v>42</v>
      </c>
      <c r="G325" s="229">
        <f ca="1">OFFSET(INDIRECT(rtI.Anker3a),11,4)</f>
        <v>0</v>
      </c>
      <c r="H325" s="227" t="str">
        <f t="shared" ca="1" si="25"/>
        <v/>
      </c>
      <c r="I325" s="227" t="str">
        <f t="shared" ca="1" si="29"/>
        <v/>
      </c>
      <c r="J325" s="227" t="str">
        <f t="shared" ca="1" si="26"/>
        <v/>
      </c>
      <c r="K325" s="230" t="str">
        <f t="shared" ca="1" si="27"/>
        <v/>
      </c>
      <c r="L325" s="231" t="str">
        <f t="shared" ca="1" si="28"/>
        <v/>
      </c>
    </row>
    <row r="326" spans="1:12" x14ac:dyDescent="0.25">
      <c r="A326" s="227" t="str">
        <f>TEXT('1 Récapitulation'!$E$10 &amp; "-SHR","@")</f>
        <v>-SHR</v>
      </c>
      <c r="B326" s="228" t="str">
        <f ca="1">TEXT(IF(G326&lt;&gt; 0,OFFSET(INDIRECT(rtI.Anker3a),12,0),""),"@")</f>
        <v/>
      </c>
      <c r="C326" s="227" t="s">
        <v>10</v>
      </c>
      <c r="D326" s="227" t="s">
        <v>2</v>
      </c>
      <c r="E326" s="227" t="s">
        <v>53</v>
      </c>
      <c r="F326" s="227" t="s">
        <v>42</v>
      </c>
      <c r="G326" s="229">
        <f ca="1">OFFSET(INDIRECT(rtI.Anker3a),12,4)</f>
        <v>0</v>
      </c>
      <c r="H326" s="227" t="str">
        <f t="shared" ca="1" si="25"/>
        <v/>
      </c>
      <c r="I326" s="227" t="str">
        <f t="shared" ca="1" si="29"/>
        <v/>
      </c>
      <c r="J326" s="227" t="str">
        <f t="shared" ca="1" si="26"/>
        <v/>
      </c>
      <c r="K326" s="230" t="str">
        <f t="shared" ca="1" si="27"/>
        <v/>
      </c>
      <c r="L326" s="231" t="str">
        <f t="shared" ca="1" si="28"/>
        <v/>
      </c>
    </row>
    <row r="327" spans="1:12" x14ac:dyDescent="0.25">
      <c r="A327" s="227" t="str">
        <f>TEXT('1 Récapitulation'!$E$10 &amp; "-SHR","@")</f>
        <v>-SHR</v>
      </c>
      <c r="B327" s="228" t="str">
        <f ca="1">TEXT(IF(G327&lt;&gt; 0,OFFSET(INDIRECT(rtI.Anker3a),13,0),""),"@")</f>
        <v/>
      </c>
      <c r="C327" s="227" t="s">
        <v>10</v>
      </c>
      <c r="D327" s="227" t="s">
        <v>2</v>
      </c>
      <c r="E327" s="227" t="s">
        <v>53</v>
      </c>
      <c r="F327" s="227" t="s">
        <v>42</v>
      </c>
      <c r="G327" s="229">
        <f ca="1">OFFSET(INDIRECT(rtI.Anker3a),13,4)</f>
        <v>0</v>
      </c>
      <c r="H327" s="227" t="str">
        <f t="shared" ca="1" si="25"/>
        <v/>
      </c>
      <c r="I327" s="227" t="str">
        <f t="shared" ca="1" si="29"/>
        <v/>
      </c>
      <c r="J327" s="227" t="str">
        <f t="shared" ca="1" si="26"/>
        <v/>
      </c>
      <c r="K327" s="230" t="str">
        <f t="shared" ca="1" si="27"/>
        <v/>
      </c>
      <c r="L327" s="231" t="str">
        <f t="shared" ca="1" si="28"/>
        <v/>
      </c>
    </row>
    <row r="328" spans="1:12" x14ac:dyDescent="0.25">
      <c r="A328" s="227" t="str">
        <f>TEXT('1 Récapitulation'!$E$10 &amp; "-SHR","@")</f>
        <v>-SHR</v>
      </c>
      <c r="B328" s="228" t="str">
        <f ca="1">TEXT(IF(G328&lt;&gt; 0,OFFSET(INDIRECT(rtI.Anker3a),14,0),""),"@")</f>
        <v/>
      </c>
      <c r="C328" s="227" t="s">
        <v>10</v>
      </c>
      <c r="D328" s="227" t="s">
        <v>2</v>
      </c>
      <c r="E328" s="227" t="s">
        <v>53</v>
      </c>
      <c r="F328" s="227" t="s">
        <v>42</v>
      </c>
      <c r="G328" s="229">
        <f ca="1">OFFSET(INDIRECT(rtI.Anker3a),14,4)</f>
        <v>0</v>
      </c>
      <c r="H328" s="227" t="str">
        <f t="shared" ca="1" si="25"/>
        <v/>
      </c>
      <c r="I328" s="227" t="str">
        <f t="shared" ca="1" si="29"/>
        <v/>
      </c>
      <c r="J328" s="227" t="str">
        <f t="shared" ca="1" si="26"/>
        <v/>
      </c>
      <c r="K328" s="230" t="str">
        <f t="shared" ca="1" si="27"/>
        <v/>
      </c>
      <c r="L328" s="231" t="str">
        <f t="shared" ca="1" si="28"/>
        <v/>
      </c>
    </row>
    <row r="329" spans="1:12" x14ac:dyDescent="0.25">
      <c r="A329" s="227" t="str">
        <f>TEXT('1 Récapitulation'!$E$10 &amp; "-SHR","@")</f>
        <v>-SHR</v>
      </c>
      <c r="B329" s="228" t="str">
        <f ca="1">TEXT(IF(G329&lt;&gt; 0,OFFSET(INDIRECT(rtI.Anker3a),15,0),""),"@")</f>
        <v/>
      </c>
      <c r="C329" s="227" t="s">
        <v>10</v>
      </c>
      <c r="D329" s="227" t="s">
        <v>2</v>
      </c>
      <c r="E329" s="227" t="s">
        <v>53</v>
      </c>
      <c r="F329" s="227" t="s">
        <v>42</v>
      </c>
      <c r="G329" s="229">
        <f ca="1">OFFSET(INDIRECT(rtI.Anker3a),15,4)</f>
        <v>0</v>
      </c>
      <c r="H329" s="227" t="str">
        <f t="shared" ca="1" si="25"/>
        <v/>
      </c>
      <c r="I329" s="227" t="str">
        <f t="shared" ca="1" si="29"/>
        <v/>
      </c>
      <c r="J329" s="227" t="str">
        <f t="shared" ca="1" si="26"/>
        <v/>
      </c>
      <c r="K329" s="230" t="str">
        <f t="shared" ca="1" si="27"/>
        <v/>
      </c>
      <c r="L329" s="231" t="str">
        <f t="shared" ca="1" si="28"/>
        <v/>
      </c>
    </row>
    <row r="330" spans="1:12" x14ac:dyDescent="0.25">
      <c r="A330" s="227" t="str">
        <f>TEXT('1 Récapitulation'!$E$10 &amp; "-SHR","@")</f>
        <v>-SHR</v>
      </c>
      <c r="B330" s="228" t="str">
        <f ca="1">TEXT(IF(G330&lt;&gt; 0,OFFSET(INDIRECT(rtI.Anker3a),16,0),""),"@")</f>
        <v/>
      </c>
      <c r="C330" s="227" t="s">
        <v>10</v>
      </c>
      <c r="D330" s="227" t="s">
        <v>2</v>
      </c>
      <c r="E330" s="227" t="s">
        <v>53</v>
      </c>
      <c r="F330" s="227" t="s">
        <v>42</v>
      </c>
      <c r="G330" s="229">
        <f ca="1">OFFSET(INDIRECT(rtI.Anker3a),16,4)</f>
        <v>0</v>
      </c>
      <c r="H330" s="227" t="str">
        <f t="shared" ca="1" si="25"/>
        <v/>
      </c>
      <c r="I330" s="227" t="str">
        <f t="shared" ca="1" si="29"/>
        <v/>
      </c>
      <c r="J330" s="227" t="str">
        <f t="shared" ca="1" si="26"/>
        <v/>
      </c>
      <c r="K330" s="230" t="str">
        <f t="shared" ca="1" si="27"/>
        <v/>
      </c>
      <c r="L330" s="231" t="str">
        <f t="shared" ca="1" si="28"/>
        <v/>
      </c>
    </row>
    <row r="331" spans="1:12" x14ac:dyDescent="0.25">
      <c r="A331" s="227" t="str">
        <f>TEXT('1 Récapitulation'!$E$10 &amp; "-SHR","@")</f>
        <v>-SHR</v>
      </c>
      <c r="B331" s="228" t="str">
        <f ca="1">TEXT(IF(G331&lt;&gt; 0,OFFSET(INDIRECT(rtI.Anker3a),17,0),""),"@")</f>
        <v/>
      </c>
      <c r="C331" s="227" t="s">
        <v>10</v>
      </c>
      <c r="D331" s="227" t="s">
        <v>2</v>
      </c>
      <c r="E331" s="227" t="s">
        <v>53</v>
      </c>
      <c r="F331" s="227" t="s">
        <v>42</v>
      </c>
      <c r="G331" s="229">
        <f ca="1">OFFSET(INDIRECT(rtI.Anker3a),17,4)</f>
        <v>0</v>
      </c>
      <c r="H331" s="227" t="str">
        <f t="shared" ca="1" si="25"/>
        <v/>
      </c>
      <c r="I331" s="227" t="str">
        <f t="shared" ca="1" si="29"/>
        <v/>
      </c>
      <c r="J331" s="227" t="str">
        <f t="shared" ca="1" si="26"/>
        <v/>
      </c>
      <c r="K331" s="230" t="str">
        <f t="shared" ca="1" si="27"/>
        <v/>
      </c>
      <c r="L331" s="231" t="str">
        <f t="shared" ca="1" si="28"/>
        <v/>
      </c>
    </row>
    <row r="332" spans="1:12" x14ac:dyDescent="0.25">
      <c r="A332" s="227" t="str">
        <f>TEXT('1 Récapitulation'!$E$10 &amp; "-SHR","@")</f>
        <v>-SHR</v>
      </c>
      <c r="B332" s="228" t="str">
        <f ca="1">TEXT(IF(G332&lt;&gt; 0,OFFSET(INDIRECT(rtI.Anker3a),18,0),""),"@")</f>
        <v/>
      </c>
      <c r="C332" s="227" t="s">
        <v>10</v>
      </c>
      <c r="D332" s="227" t="s">
        <v>2</v>
      </c>
      <c r="E332" s="227" t="s">
        <v>53</v>
      </c>
      <c r="F332" s="227" t="s">
        <v>42</v>
      </c>
      <c r="G332" s="229">
        <f ca="1">OFFSET(INDIRECT(rtI.Anker3a),18,4)</f>
        <v>0</v>
      </c>
      <c r="H332" s="227" t="str">
        <f t="shared" ca="1" si="25"/>
        <v/>
      </c>
      <c r="I332" s="227" t="str">
        <f t="shared" ca="1" si="29"/>
        <v/>
      </c>
      <c r="J332" s="227" t="str">
        <f t="shared" ca="1" si="26"/>
        <v/>
      </c>
      <c r="K332" s="230" t="str">
        <f t="shared" ca="1" si="27"/>
        <v/>
      </c>
      <c r="L332" s="231" t="str">
        <f t="shared" ca="1" si="28"/>
        <v/>
      </c>
    </row>
    <row r="333" spans="1:12" x14ac:dyDescent="0.25">
      <c r="A333" s="227" t="str">
        <f>TEXT('1 Récapitulation'!$E$10 &amp; "-SHR","@")</f>
        <v>-SHR</v>
      </c>
      <c r="B333" s="228" t="str">
        <f ca="1">TEXT(IF(G333&lt;&gt; 0,OFFSET(INDIRECT(rtI.Anker3a),19,0),""),"@")</f>
        <v/>
      </c>
      <c r="C333" s="227" t="s">
        <v>10</v>
      </c>
      <c r="D333" s="227" t="s">
        <v>2</v>
      </c>
      <c r="E333" s="227" t="s">
        <v>53</v>
      </c>
      <c r="F333" s="227" t="s">
        <v>42</v>
      </c>
      <c r="G333" s="229">
        <f ca="1">OFFSET(INDIRECT(rtI.Anker3a),19,4)</f>
        <v>0</v>
      </c>
      <c r="H333" s="227" t="str">
        <f t="shared" ca="1" si="25"/>
        <v/>
      </c>
      <c r="I333" s="227" t="str">
        <f t="shared" ca="1" si="29"/>
        <v/>
      </c>
      <c r="J333" s="227" t="str">
        <f t="shared" ca="1" si="26"/>
        <v/>
      </c>
      <c r="K333" s="230" t="str">
        <f t="shared" ca="1" si="27"/>
        <v/>
      </c>
      <c r="L333" s="231" t="str">
        <f t="shared" ca="1" si="28"/>
        <v/>
      </c>
    </row>
    <row r="334" spans="1:12" x14ac:dyDescent="0.25">
      <c r="A334" s="227" t="str">
        <f>TEXT('1 Récapitulation'!$E$10 &amp; "-SHR","@")</f>
        <v>-SHR</v>
      </c>
      <c r="B334" s="228" t="str">
        <f ca="1">TEXT(IF(G334&lt;&gt; 0,OFFSET(INDIRECT(rtI.Anker3a),20,0),""),"@")</f>
        <v/>
      </c>
      <c r="C334" s="227" t="s">
        <v>10</v>
      </c>
      <c r="D334" s="227" t="s">
        <v>2</v>
      </c>
      <c r="E334" s="227" t="s">
        <v>53</v>
      </c>
      <c r="F334" s="227" t="s">
        <v>42</v>
      </c>
      <c r="G334" s="229">
        <f ca="1">OFFSET(INDIRECT(rtI.Anker3a),20,4)</f>
        <v>0</v>
      </c>
      <c r="H334" s="227" t="str">
        <f t="shared" ca="1" si="25"/>
        <v/>
      </c>
      <c r="I334" s="227" t="str">
        <f t="shared" ca="1" si="29"/>
        <v/>
      </c>
      <c r="J334" s="227" t="str">
        <f t="shared" ca="1" si="26"/>
        <v/>
      </c>
      <c r="K334" s="230" t="str">
        <f t="shared" ca="1" si="27"/>
        <v/>
      </c>
      <c r="L334" s="231" t="str">
        <f t="shared" ca="1" si="28"/>
        <v/>
      </c>
    </row>
    <row r="335" spans="1:12" x14ac:dyDescent="0.25">
      <c r="A335" s="227" t="str">
        <f>TEXT('1 Récapitulation'!$E$10 &amp; "-SHR","@")</f>
        <v>-SHR</v>
      </c>
      <c r="B335" s="228" t="str">
        <f ca="1">TEXT(IF(G335&lt;&gt; 0,OFFSET(INDIRECT(rtI.Anker3a),21,0),""),"@")</f>
        <v/>
      </c>
      <c r="C335" s="227" t="s">
        <v>10</v>
      </c>
      <c r="D335" s="227" t="s">
        <v>2</v>
      </c>
      <c r="E335" s="227" t="s">
        <v>53</v>
      </c>
      <c r="F335" s="227" t="s">
        <v>42</v>
      </c>
      <c r="G335" s="229">
        <f ca="1">OFFSET(INDIRECT(rtI.Anker3a),21,4)</f>
        <v>0</v>
      </c>
      <c r="H335" s="227" t="str">
        <f t="shared" ca="1" si="25"/>
        <v/>
      </c>
      <c r="I335" s="227" t="str">
        <f t="shared" ca="1" si="29"/>
        <v/>
      </c>
      <c r="J335" s="227" t="str">
        <f t="shared" ca="1" si="26"/>
        <v/>
      </c>
      <c r="K335" s="230" t="str">
        <f t="shared" ca="1" si="27"/>
        <v/>
      </c>
      <c r="L335" s="231" t="str">
        <f t="shared" ca="1" si="28"/>
        <v/>
      </c>
    </row>
    <row r="336" spans="1:12" x14ac:dyDescent="0.25">
      <c r="A336" s="227" t="str">
        <f>TEXT('1 Récapitulation'!$E$10 &amp; "-SHR","@")</f>
        <v>-SHR</v>
      </c>
      <c r="B336" s="228" t="str">
        <f ca="1">TEXT(IF(G336&lt;&gt; 0,OFFSET(INDIRECT(rtI.Anker3a),22,0),""),"@")</f>
        <v/>
      </c>
      <c r="C336" s="227" t="s">
        <v>10</v>
      </c>
      <c r="D336" s="227" t="s">
        <v>2</v>
      </c>
      <c r="E336" s="227" t="s">
        <v>53</v>
      </c>
      <c r="F336" s="227" t="s">
        <v>42</v>
      </c>
      <c r="G336" s="229">
        <f ca="1">OFFSET(INDIRECT(rtI.Anker3a),22,4)</f>
        <v>0</v>
      </c>
      <c r="H336" s="227" t="str">
        <f t="shared" ca="1" si="25"/>
        <v/>
      </c>
      <c r="I336" s="227" t="str">
        <f t="shared" ca="1" si="29"/>
        <v/>
      </c>
      <c r="J336" s="227" t="str">
        <f t="shared" ca="1" si="26"/>
        <v/>
      </c>
      <c r="K336" s="230" t="str">
        <f t="shared" ca="1" si="27"/>
        <v/>
      </c>
      <c r="L336" s="231" t="str">
        <f t="shared" ca="1" si="28"/>
        <v/>
      </c>
    </row>
    <row r="337" spans="1:12" x14ac:dyDescent="0.25">
      <c r="A337" s="227" t="str">
        <f>TEXT('1 Récapitulation'!$E$10 &amp; "-SHR","@")</f>
        <v>-SHR</v>
      </c>
      <c r="B337" s="228" t="str">
        <f ca="1">TEXT(IF(G337&lt;&gt; 0,OFFSET(INDIRECT(rtI.Anker3a),23,0),""),"@")</f>
        <v/>
      </c>
      <c r="C337" s="227" t="s">
        <v>10</v>
      </c>
      <c r="D337" s="227" t="s">
        <v>2</v>
      </c>
      <c r="E337" s="227" t="s">
        <v>53</v>
      </c>
      <c r="F337" s="227" t="s">
        <v>42</v>
      </c>
      <c r="G337" s="229">
        <f ca="1">OFFSET(INDIRECT(rtI.Anker3a),23,4)</f>
        <v>0</v>
      </c>
      <c r="H337" s="227" t="str">
        <f t="shared" ca="1" si="25"/>
        <v/>
      </c>
      <c r="I337" s="227" t="str">
        <f t="shared" ca="1" si="29"/>
        <v/>
      </c>
      <c r="J337" s="227" t="str">
        <f t="shared" ca="1" si="26"/>
        <v/>
      </c>
      <c r="K337" s="230" t="str">
        <f t="shared" ca="1" si="27"/>
        <v/>
      </c>
      <c r="L337" s="231" t="str">
        <f t="shared" ca="1" si="28"/>
        <v/>
      </c>
    </row>
    <row r="338" spans="1:12" x14ac:dyDescent="0.25">
      <c r="A338" s="227" t="str">
        <f>TEXT('1 Récapitulation'!$E$10 &amp; "-SHR","@")</f>
        <v>-SHR</v>
      </c>
      <c r="B338" s="228" t="str">
        <f ca="1">TEXT(IF(G338&lt;&gt; 0,OFFSET(INDIRECT(rtI.Anker3a),24,0),""),"@")</f>
        <v/>
      </c>
      <c r="C338" s="227" t="s">
        <v>10</v>
      </c>
      <c r="D338" s="227" t="s">
        <v>2</v>
      </c>
      <c r="E338" s="227" t="s">
        <v>53</v>
      </c>
      <c r="F338" s="227" t="s">
        <v>42</v>
      </c>
      <c r="G338" s="229">
        <f ca="1">OFFSET(INDIRECT(rtI.Anker3a),24,4)</f>
        <v>0</v>
      </c>
      <c r="H338" s="227" t="str">
        <f t="shared" ca="1" si="25"/>
        <v/>
      </c>
      <c r="I338" s="227" t="str">
        <f t="shared" ca="1" si="29"/>
        <v/>
      </c>
      <c r="J338" s="227" t="str">
        <f t="shared" ca="1" si="26"/>
        <v/>
      </c>
      <c r="K338" s="230" t="str">
        <f t="shared" ca="1" si="27"/>
        <v/>
      </c>
      <c r="L338" s="231" t="str">
        <f t="shared" ca="1" si="28"/>
        <v/>
      </c>
    </row>
    <row r="339" spans="1:12" x14ac:dyDescent="0.25">
      <c r="A339" s="227" t="str">
        <f>TEXT('1 Récapitulation'!$E$10 &amp; "-SHR","@")</f>
        <v>-SHR</v>
      </c>
      <c r="B339" s="228" t="str">
        <f ca="1">TEXT(IF(G339&lt;&gt; 0,OFFSET(INDIRECT(rtI.Anker3a),25,0),""),"@")</f>
        <v/>
      </c>
      <c r="C339" s="227" t="s">
        <v>10</v>
      </c>
      <c r="D339" s="227" t="s">
        <v>2</v>
      </c>
      <c r="E339" s="227" t="s">
        <v>53</v>
      </c>
      <c r="F339" s="227" t="s">
        <v>42</v>
      </c>
      <c r="G339" s="229">
        <f ca="1">OFFSET(INDIRECT(rtI.Anker3a),25,4)</f>
        <v>0</v>
      </c>
      <c r="H339" s="227" t="str">
        <f t="shared" ca="1" si="25"/>
        <v/>
      </c>
      <c r="I339" s="227" t="str">
        <f t="shared" ca="1" si="29"/>
        <v/>
      </c>
      <c r="J339" s="227" t="str">
        <f t="shared" ca="1" si="26"/>
        <v/>
      </c>
      <c r="K339" s="230" t="str">
        <f t="shared" ca="1" si="27"/>
        <v/>
      </c>
      <c r="L339" s="231" t="str">
        <f t="shared" ca="1" si="28"/>
        <v/>
      </c>
    </row>
    <row r="340" spans="1:12" x14ac:dyDescent="0.25">
      <c r="A340" s="227" t="str">
        <f>TEXT('1 Récapitulation'!$E$10 &amp; "-SHR","@")</f>
        <v>-SHR</v>
      </c>
      <c r="B340" s="228" t="str">
        <f ca="1">TEXT(IF(G340&lt;&gt; 0,OFFSET(INDIRECT(rtI.Anker3a),26,0),""),"@")</f>
        <v/>
      </c>
      <c r="C340" s="227" t="s">
        <v>10</v>
      </c>
      <c r="D340" s="227" t="s">
        <v>2</v>
      </c>
      <c r="E340" s="227" t="s">
        <v>53</v>
      </c>
      <c r="F340" s="227" t="s">
        <v>42</v>
      </c>
      <c r="G340" s="229">
        <f ca="1">OFFSET(INDIRECT(rtI.Anker3a),26,4)</f>
        <v>0</v>
      </c>
      <c r="H340" s="227" t="str">
        <f t="shared" ca="1" si="25"/>
        <v/>
      </c>
      <c r="I340" s="227" t="str">
        <f t="shared" ca="1" si="29"/>
        <v/>
      </c>
      <c r="J340" s="227" t="str">
        <f t="shared" ca="1" si="26"/>
        <v/>
      </c>
      <c r="K340" s="230" t="str">
        <f t="shared" ca="1" si="27"/>
        <v/>
      </c>
      <c r="L340" s="231" t="str">
        <f t="shared" ca="1" si="28"/>
        <v/>
      </c>
    </row>
    <row r="341" spans="1:12" x14ac:dyDescent="0.25">
      <c r="A341" s="227" t="str">
        <f>TEXT('1 Récapitulation'!$E$10 &amp; "-SHR","@")</f>
        <v>-SHR</v>
      </c>
      <c r="B341" s="228" t="str">
        <f ca="1">TEXT(IF(G341&lt;&gt; 0,OFFSET(INDIRECT(rtI.Anker3a),27,0),""),"@")</f>
        <v/>
      </c>
      <c r="C341" s="227" t="s">
        <v>10</v>
      </c>
      <c r="D341" s="227" t="s">
        <v>2</v>
      </c>
      <c r="E341" s="227" t="s">
        <v>53</v>
      </c>
      <c r="F341" s="227" t="s">
        <v>42</v>
      </c>
      <c r="G341" s="229">
        <f ca="1">OFFSET(INDIRECT(rtI.Anker3a),27,4)</f>
        <v>0</v>
      </c>
      <c r="H341" s="227" t="str">
        <f t="shared" ca="1" si="25"/>
        <v/>
      </c>
      <c r="I341" s="227" t="str">
        <f t="shared" ca="1" si="29"/>
        <v/>
      </c>
      <c r="J341" s="227" t="str">
        <f t="shared" ca="1" si="26"/>
        <v/>
      </c>
      <c r="K341" s="230" t="str">
        <f t="shared" ca="1" si="27"/>
        <v/>
      </c>
      <c r="L341" s="231" t="str">
        <f t="shared" ca="1" si="28"/>
        <v/>
      </c>
    </row>
    <row r="342" spans="1:12" x14ac:dyDescent="0.25">
      <c r="A342" s="227" t="str">
        <f>TEXT('1 Récapitulation'!$E$10 &amp; "-SHR","@")</f>
        <v>-SHR</v>
      </c>
      <c r="B342" s="228" t="str">
        <f ca="1">TEXT(IF(G342&lt;&gt; 0,OFFSET(INDIRECT(rtI.Anker3a),28,0),""),"@")</f>
        <v/>
      </c>
      <c r="C342" s="227" t="s">
        <v>10</v>
      </c>
      <c r="D342" s="227" t="s">
        <v>2</v>
      </c>
      <c r="E342" s="227" t="s">
        <v>53</v>
      </c>
      <c r="F342" s="227" t="s">
        <v>42</v>
      </c>
      <c r="G342" s="229">
        <f ca="1">OFFSET(INDIRECT(rtI.Anker3a),28,4)</f>
        <v>0</v>
      </c>
      <c r="H342" s="227" t="str">
        <f t="shared" ca="1" si="25"/>
        <v/>
      </c>
      <c r="I342" s="227" t="str">
        <f t="shared" ca="1" si="29"/>
        <v/>
      </c>
      <c r="J342" s="227" t="str">
        <f t="shared" ca="1" si="26"/>
        <v/>
      </c>
      <c r="K342" s="230" t="str">
        <f t="shared" ca="1" si="27"/>
        <v/>
      </c>
      <c r="L342" s="231" t="str">
        <f t="shared" ca="1" si="28"/>
        <v/>
      </c>
    </row>
    <row r="343" spans="1:12" x14ac:dyDescent="0.25">
      <c r="A343" s="227" t="str">
        <f>TEXT('1 Récapitulation'!$E$10 &amp; "-SHR","@")</f>
        <v>-SHR</v>
      </c>
      <c r="B343" s="228" t="str">
        <f ca="1">TEXT(IF(G343&lt;&gt; 0,OFFSET(INDIRECT(rtI.Anker3a),29,0),""),"@")</f>
        <v/>
      </c>
      <c r="C343" s="227" t="s">
        <v>10</v>
      </c>
      <c r="D343" s="227" t="s">
        <v>2</v>
      </c>
      <c r="E343" s="227" t="s">
        <v>53</v>
      </c>
      <c r="F343" s="227" t="s">
        <v>42</v>
      </c>
      <c r="G343" s="229">
        <f ca="1">OFFSET(INDIRECT(rtI.Anker3a),29,4)</f>
        <v>0</v>
      </c>
      <c r="H343" s="227" t="str">
        <f t="shared" ca="1" si="25"/>
        <v/>
      </c>
      <c r="I343" s="227" t="str">
        <f t="shared" ca="1" si="29"/>
        <v/>
      </c>
      <c r="J343" s="227" t="str">
        <f t="shared" ca="1" si="26"/>
        <v/>
      </c>
      <c r="K343" s="230" t="str">
        <f t="shared" ca="1" si="27"/>
        <v/>
      </c>
      <c r="L343" s="231" t="str">
        <f t="shared" ca="1" si="28"/>
        <v/>
      </c>
    </row>
    <row r="344" spans="1:12" x14ac:dyDescent="0.25">
      <c r="A344" s="227" t="str">
        <f>TEXT('1 Récapitulation'!$E$10 &amp; "-SHR","@")</f>
        <v>-SHR</v>
      </c>
      <c r="B344" s="228" t="str">
        <f ca="1">TEXT(IF(G344&lt;&gt; 0,OFFSET(INDIRECT(rtI.Anker3a),30,0),""),"@")</f>
        <v/>
      </c>
      <c r="C344" s="227" t="s">
        <v>10</v>
      </c>
      <c r="D344" s="227" t="s">
        <v>2</v>
      </c>
      <c r="E344" s="227" t="s">
        <v>53</v>
      </c>
      <c r="F344" s="227" t="s">
        <v>42</v>
      </c>
      <c r="G344" s="229">
        <f ca="1">OFFSET(INDIRECT(rtI.Anker3a),30,4)</f>
        <v>0</v>
      </c>
      <c r="H344" s="227" t="str">
        <f t="shared" ca="1" si="25"/>
        <v/>
      </c>
      <c r="I344" s="227" t="str">
        <f t="shared" ca="1" si="29"/>
        <v/>
      </c>
      <c r="J344" s="227" t="str">
        <f t="shared" ca="1" si="26"/>
        <v/>
      </c>
      <c r="K344" s="230" t="str">
        <f t="shared" ca="1" si="27"/>
        <v/>
      </c>
      <c r="L344" s="231" t="str">
        <f t="shared" ca="1" si="28"/>
        <v/>
      </c>
    </row>
    <row r="345" spans="1:12" x14ac:dyDescent="0.25">
      <c r="A345" s="227" t="str">
        <f>TEXT('1 Récapitulation'!$E$10 &amp; "-SHR","@")</f>
        <v>-SHR</v>
      </c>
      <c r="B345" s="228" t="str">
        <f ca="1">TEXT(IF(G345&lt;&gt; 0,OFFSET(INDIRECT(rtI.Anker3a),31,0),""),"@")</f>
        <v/>
      </c>
      <c r="C345" s="227" t="s">
        <v>10</v>
      </c>
      <c r="D345" s="227" t="s">
        <v>2</v>
      </c>
      <c r="E345" s="227" t="s">
        <v>53</v>
      </c>
      <c r="F345" s="227" t="s">
        <v>42</v>
      </c>
      <c r="G345" s="229">
        <f ca="1">OFFSET(INDIRECT(rtI.Anker3a),31,4)</f>
        <v>0</v>
      </c>
      <c r="H345" s="227" t="str">
        <f t="shared" ca="1" si="25"/>
        <v/>
      </c>
      <c r="I345" s="227" t="str">
        <f t="shared" ca="1" si="29"/>
        <v/>
      </c>
      <c r="J345" s="227" t="str">
        <f t="shared" ca="1" si="26"/>
        <v/>
      </c>
      <c r="K345" s="230" t="str">
        <f t="shared" ca="1" si="27"/>
        <v/>
      </c>
      <c r="L345" s="231" t="str">
        <f t="shared" ca="1" si="28"/>
        <v/>
      </c>
    </row>
    <row r="346" spans="1:12" x14ac:dyDescent="0.25">
      <c r="A346" s="227" t="str">
        <f>TEXT('1 Récapitulation'!$E$10 &amp; "-SHR","@")</f>
        <v>-SHR</v>
      </c>
      <c r="B346" s="228" t="str">
        <f ca="1">TEXT(IF(G346&lt;&gt; 0,OFFSET(INDIRECT(rtI.Anker3a),32,0),""),"@")</f>
        <v/>
      </c>
      <c r="C346" s="227" t="s">
        <v>10</v>
      </c>
      <c r="D346" s="227" t="s">
        <v>2</v>
      </c>
      <c r="E346" s="227" t="s">
        <v>53</v>
      </c>
      <c r="F346" s="227" t="s">
        <v>42</v>
      </c>
      <c r="G346" s="229">
        <f ca="1">OFFSET(INDIRECT(rtI.Anker3a),32,4)</f>
        <v>0</v>
      </c>
      <c r="H346" s="227" t="str">
        <f t="shared" ca="1" si="25"/>
        <v/>
      </c>
      <c r="I346" s="227" t="str">
        <f t="shared" ca="1" si="29"/>
        <v/>
      </c>
      <c r="J346" s="227" t="str">
        <f t="shared" ca="1" si="26"/>
        <v/>
      </c>
      <c r="K346" s="230" t="str">
        <f t="shared" ca="1" si="27"/>
        <v/>
      </c>
      <c r="L346" s="231" t="str">
        <f t="shared" ca="1" si="28"/>
        <v/>
      </c>
    </row>
    <row r="347" spans="1:12" x14ac:dyDescent="0.25">
      <c r="A347" s="227" t="str">
        <f>TEXT('1 Récapitulation'!$E$10 &amp; "-SHR","@")</f>
        <v>-SHR</v>
      </c>
      <c r="B347" s="228" t="str">
        <f ca="1">TEXT(IF(G347&lt;&gt; 0,OFFSET(INDIRECT(rtI.Anker3a),33,0),""),"@")</f>
        <v/>
      </c>
      <c r="C347" s="227" t="s">
        <v>10</v>
      </c>
      <c r="D347" s="227" t="s">
        <v>2</v>
      </c>
      <c r="E347" s="227" t="s">
        <v>53</v>
      </c>
      <c r="F347" s="227" t="s">
        <v>42</v>
      </c>
      <c r="G347" s="229">
        <f ca="1">OFFSET(INDIRECT(rtI.Anker3a),33,4)</f>
        <v>0</v>
      </c>
      <c r="H347" s="227" t="str">
        <f t="shared" ca="1" si="25"/>
        <v/>
      </c>
      <c r="I347" s="227" t="str">
        <f t="shared" ca="1" si="29"/>
        <v/>
      </c>
      <c r="J347" s="227" t="str">
        <f t="shared" ca="1" si="26"/>
        <v/>
      </c>
      <c r="K347" s="230" t="str">
        <f t="shared" ca="1" si="27"/>
        <v/>
      </c>
      <c r="L347" s="231" t="str">
        <f t="shared" ca="1" si="28"/>
        <v/>
      </c>
    </row>
    <row r="348" spans="1:12" x14ac:dyDescent="0.25">
      <c r="A348" s="227" t="str">
        <f>TEXT('1 Récapitulation'!$E$10 &amp; "-SHR","@")</f>
        <v>-SHR</v>
      </c>
      <c r="B348" s="228" t="str">
        <f ca="1">TEXT(IF(G348&lt;&gt; 0,OFFSET(INDIRECT(rtI.Anker3a),34,0),""),"@")</f>
        <v/>
      </c>
      <c r="C348" s="227" t="s">
        <v>10</v>
      </c>
      <c r="D348" s="227" t="s">
        <v>2</v>
      </c>
      <c r="E348" s="227" t="s">
        <v>53</v>
      </c>
      <c r="F348" s="227" t="s">
        <v>42</v>
      </c>
      <c r="G348" s="229">
        <f ca="1">OFFSET(INDIRECT(rtI.Anker3a),34,4)</f>
        <v>0</v>
      </c>
      <c r="H348" s="227" t="str">
        <f t="shared" ca="1" si="25"/>
        <v/>
      </c>
      <c r="I348" s="227" t="str">
        <f t="shared" ca="1" si="29"/>
        <v/>
      </c>
      <c r="J348" s="227" t="str">
        <f t="shared" ca="1" si="26"/>
        <v/>
      </c>
      <c r="K348" s="230" t="str">
        <f t="shared" ca="1" si="27"/>
        <v/>
      </c>
      <c r="L348" s="231" t="str">
        <f t="shared" ca="1" si="28"/>
        <v/>
      </c>
    </row>
    <row r="349" spans="1:12" x14ac:dyDescent="0.25">
      <c r="A349" s="227" t="str">
        <f>TEXT('1 Récapitulation'!$E$10 &amp; "-SHR","@")</f>
        <v>-SHR</v>
      </c>
      <c r="B349" s="228" t="str">
        <f ca="1">TEXT(IF(G349&lt;&gt; 0,OFFSET(INDIRECT(rtI.Anker3a),35,0),""),"@")</f>
        <v/>
      </c>
      <c r="C349" s="227" t="s">
        <v>10</v>
      </c>
      <c r="D349" s="227" t="s">
        <v>2</v>
      </c>
      <c r="E349" s="227" t="s">
        <v>53</v>
      </c>
      <c r="F349" s="227" t="s">
        <v>42</v>
      </c>
      <c r="G349" s="229">
        <f ca="1">OFFSET(INDIRECT(rtI.Anker3a),35,4)</f>
        <v>0</v>
      </c>
      <c r="H349" s="227" t="str">
        <f t="shared" ca="1" si="25"/>
        <v/>
      </c>
      <c r="I349" s="227" t="str">
        <f t="shared" ca="1" si="29"/>
        <v/>
      </c>
      <c r="J349" s="227" t="str">
        <f t="shared" ca="1" si="26"/>
        <v/>
      </c>
      <c r="K349" s="230" t="str">
        <f t="shared" ca="1" si="27"/>
        <v/>
      </c>
      <c r="L349" s="231" t="str">
        <f t="shared" ca="1" si="28"/>
        <v/>
      </c>
    </row>
    <row r="350" spans="1:12" x14ac:dyDescent="0.25">
      <c r="A350" s="227" t="str">
        <f>TEXT('1 Récapitulation'!$E$10 &amp; "-SHR","@")</f>
        <v>-SHR</v>
      </c>
      <c r="B350" s="228" t="str">
        <f ca="1">TEXT(IF(G350&lt;&gt; 0,OFFSET(INDIRECT(rtI.Anker3a),36,0),""),"@")</f>
        <v/>
      </c>
      <c r="C350" s="227" t="s">
        <v>10</v>
      </c>
      <c r="D350" s="227" t="s">
        <v>2</v>
      </c>
      <c r="E350" s="227" t="s">
        <v>53</v>
      </c>
      <c r="F350" s="227" t="s">
        <v>42</v>
      </c>
      <c r="G350" s="229">
        <f ca="1">OFFSET(INDIRECT(rtI.Anker3a),36,4)</f>
        <v>0</v>
      </c>
      <c r="H350" s="227" t="str">
        <f t="shared" ca="1" si="25"/>
        <v/>
      </c>
      <c r="I350" s="227" t="str">
        <f t="shared" ca="1" si="29"/>
        <v/>
      </c>
      <c r="J350" s="227" t="str">
        <f t="shared" ca="1" si="26"/>
        <v/>
      </c>
      <c r="K350" s="230" t="str">
        <f t="shared" ca="1" si="27"/>
        <v/>
      </c>
      <c r="L350" s="231" t="str">
        <f t="shared" ca="1" si="28"/>
        <v/>
      </c>
    </row>
    <row r="351" spans="1:12" x14ac:dyDescent="0.25">
      <c r="A351" s="227" t="str">
        <f>TEXT('1 Récapitulation'!$E$10 &amp; "-SHR","@")</f>
        <v>-SHR</v>
      </c>
      <c r="B351" s="228" t="str">
        <f ca="1">TEXT(IF(G351&lt;&gt; 0,OFFSET(INDIRECT(rtI.Anker3a),37,0),""),"@")</f>
        <v/>
      </c>
      <c r="C351" s="227" t="s">
        <v>10</v>
      </c>
      <c r="D351" s="227" t="s">
        <v>2</v>
      </c>
      <c r="E351" s="227" t="s">
        <v>53</v>
      </c>
      <c r="F351" s="227" t="s">
        <v>42</v>
      </c>
      <c r="G351" s="229">
        <f ca="1">OFFSET(INDIRECT(rtI.Anker3a),37,4)</f>
        <v>0</v>
      </c>
      <c r="H351" s="227" t="str">
        <f t="shared" ca="1" si="25"/>
        <v/>
      </c>
      <c r="I351" s="227" t="str">
        <f t="shared" ca="1" si="29"/>
        <v/>
      </c>
      <c r="J351" s="227" t="str">
        <f t="shared" ca="1" si="26"/>
        <v/>
      </c>
      <c r="K351" s="230" t="str">
        <f t="shared" ca="1" si="27"/>
        <v/>
      </c>
      <c r="L351" s="231" t="str">
        <f t="shared" ca="1" si="28"/>
        <v/>
      </c>
    </row>
    <row r="352" spans="1:12" x14ac:dyDescent="0.25">
      <c r="A352" s="227" t="str">
        <f>TEXT('1 Récapitulation'!$E$10 &amp; "-SHR","@")</f>
        <v>-SHR</v>
      </c>
      <c r="B352" s="228" t="str">
        <f ca="1">TEXT(IF(G352&lt;&gt; 0,OFFSET(INDIRECT(rtI.Anker3a),0,0),""),"@")</f>
        <v/>
      </c>
      <c r="C352" s="227" t="s">
        <v>55</v>
      </c>
      <c r="D352" s="227" t="s">
        <v>2</v>
      </c>
      <c r="E352" s="227" t="s">
        <v>56</v>
      </c>
      <c r="F352" s="227" t="s">
        <v>42</v>
      </c>
      <c r="G352" s="229">
        <f ca="1">OFFSET(INDIRECT(rtI.Anker3a),0,5)</f>
        <v>0</v>
      </c>
      <c r="H352" s="227" t="str">
        <f t="shared" ca="1" si="25"/>
        <v/>
      </c>
      <c r="I352" s="227" t="str">
        <f t="shared" ca="1" si="29"/>
        <v/>
      </c>
      <c r="J352" s="227" t="str">
        <f t="shared" ca="1" si="26"/>
        <v/>
      </c>
      <c r="K352" s="230" t="str">
        <f t="shared" ca="1" si="27"/>
        <v/>
      </c>
      <c r="L352" s="231" t="str">
        <f t="shared" ca="1" si="28"/>
        <v/>
      </c>
    </row>
    <row r="353" spans="1:12" x14ac:dyDescent="0.25">
      <c r="A353" s="227" t="str">
        <f>TEXT('1 Récapitulation'!$E$10 &amp; "-SHR","@")</f>
        <v>-SHR</v>
      </c>
      <c r="B353" s="228" t="str">
        <f ca="1">TEXT(IF(G353&lt;&gt; 0,OFFSET(INDIRECT(rtI.Anker3a),1,0),""),"@")</f>
        <v/>
      </c>
      <c r="C353" s="227" t="s">
        <v>55</v>
      </c>
      <c r="D353" s="227" t="s">
        <v>2</v>
      </c>
      <c r="E353" s="227" t="s">
        <v>56</v>
      </c>
      <c r="F353" s="227" t="s">
        <v>42</v>
      </c>
      <c r="G353" s="229">
        <f ca="1">OFFSET(INDIRECT(rtI.Anker3a),1,5)</f>
        <v>0</v>
      </c>
      <c r="H353" s="227" t="str">
        <f t="shared" ca="1" si="25"/>
        <v/>
      </c>
      <c r="I353" s="227" t="str">
        <f t="shared" ca="1" si="29"/>
        <v/>
      </c>
      <c r="J353" s="227" t="str">
        <f t="shared" ca="1" si="26"/>
        <v/>
      </c>
      <c r="K353" s="230" t="str">
        <f t="shared" ca="1" si="27"/>
        <v/>
      </c>
      <c r="L353" s="231" t="str">
        <f t="shared" ca="1" si="28"/>
        <v/>
      </c>
    </row>
    <row r="354" spans="1:12" x14ac:dyDescent="0.25">
      <c r="A354" s="227" t="str">
        <f>TEXT('1 Récapitulation'!$E$10 &amp; "-SHR","@")</f>
        <v>-SHR</v>
      </c>
      <c r="B354" s="228" t="str">
        <f ca="1">TEXT(IF(G354&lt;&gt; 0,OFFSET(INDIRECT(rtI.Anker3a),2,0),""),"@")</f>
        <v/>
      </c>
      <c r="C354" s="227" t="s">
        <v>55</v>
      </c>
      <c r="D354" s="227" t="s">
        <v>2</v>
      </c>
      <c r="E354" s="227" t="s">
        <v>56</v>
      </c>
      <c r="F354" s="227" t="s">
        <v>42</v>
      </c>
      <c r="G354" s="229">
        <f ca="1">OFFSET(INDIRECT(rtI.Anker3a),2,5)</f>
        <v>0</v>
      </c>
      <c r="H354" s="227" t="str">
        <f t="shared" ca="1" si="25"/>
        <v/>
      </c>
      <c r="I354" s="227" t="str">
        <f t="shared" ca="1" si="29"/>
        <v/>
      </c>
      <c r="J354" s="227" t="str">
        <f t="shared" ca="1" si="26"/>
        <v/>
      </c>
      <c r="K354" s="230" t="str">
        <f t="shared" ca="1" si="27"/>
        <v/>
      </c>
      <c r="L354" s="231" t="str">
        <f t="shared" ca="1" si="28"/>
        <v/>
      </c>
    </row>
    <row r="355" spans="1:12" x14ac:dyDescent="0.25">
      <c r="A355" s="227" t="str">
        <f>TEXT('1 Récapitulation'!$E$10 &amp; "-SHR","@")</f>
        <v>-SHR</v>
      </c>
      <c r="B355" s="228" t="str">
        <f ca="1">TEXT(IF(G355&lt;&gt; 0,OFFSET(INDIRECT(rtI.Anker3a),3,0),""),"@")</f>
        <v/>
      </c>
      <c r="C355" s="227" t="s">
        <v>55</v>
      </c>
      <c r="D355" s="227" t="s">
        <v>2</v>
      </c>
      <c r="E355" s="227" t="s">
        <v>56</v>
      </c>
      <c r="F355" s="227" t="s">
        <v>42</v>
      </c>
      <c r="G355" s="229">
        <f ca="1">OFFSET(INDIRECT(rtI.Anker3a),3,5)</f>
        <v>0</v>
      </c>
      <c r="H355" s="227" t="str">
        <f t="shared" ca="1" si="25"/>
        <v/>
      </c>
      <c r="I355" s="227" t="str">
        <f t="shared" ca="1" si="29"/>
        <v/>
      </c>
      <c r="J355" s="227" t="str">
        <f t="shared" ca="1" si="26"/>
        <v/>
      </c>
      <c r="K355" s="230" t="str">
        <f t="shared" ca="1" si="27"/>
        <v/>
      </c>
      <c r="L355" s="231" t="str">
        <f t="shared" ca="1" si="28"/>
        <v/>
      </c>
    </row>
    <row r="356" spans="1:12" x14ac:dyDescent="0.25">
      <c r="A356" s="227" t="str">
        <f>TEXT('1 Récapitulation'!$E$10 &amp; "-SHR","@")</f>
        <v>-SHR</v>
      </c>
      <c r="B356" s="228" t="str">
        <f ca="1">TEXT(IF(G356&lt;&gt; 0,OFFSET(INDIRECT(rtI.Anker3a),4,0),""),"@")</f>
        <v/>
      </c>
      <c r="C356" s="227" t="s">
        <v>55</v>
      </c>
      <c r="D356" s="227" t="s">
        <v>2</v>
      </c>
      <c r="E356" s="227" t="s">
        <v>56</v>
      </c>
      <c r="F356" s="227" t="s">
        <v>42</v>
      </c>
      <c r="G356" s="229">
        <f ca="1">OFFSET(INDIRECT(rtI.Anker3a),4,5)</f>
        <v>0</v>
      </c>
      <c r="H356" s="227" t="str">
        <f t="shared" ca="1" si="25"/>
        <v/>
      </c>
      <c r="I356" s="227" t="str">
        <f t="shared" ca="1" si="29"/>
        <v/>
      </c>
      <c r="J356" s="227" t="str">
        <f t="shared" ca="1" si="26"/>
        <v/>
      </c>
      <c r="K356" s="230" t="str">
        <f t="shared" ca="1" si="27"/>
        <v/>
      </c>
      <c r="L356" s="231" t="str">
        <f t="shared" ca="1" si="28"/>
        <v/>
      </c>
    </row>
    <row r="357" spans="1:12" x14ac:dyDescent="0.25">
      <c r="A357" s="227" t="str">
        <f>TEXT('1 Récapitulation'!$E$10 &amp; "-SHR","@")</f>
        <v>-SHR</v>
      </c>
      <c r="B357" s="228" t="str">
        <f ca="1">TEXT(IF(G357&lt;&gt; 0,OFFSET(INDIRECT(rtI.Anker3a),5,0),""),"@")</f>
        <v/>
      </c>
      <c r="C357" s="227" t="s">
        <v>55</v>
      </c>
      <c r="D357" s="227" t="s">
        <v>2</v>
      </c>
      <c r="E357" s="227" t="s">
        <v>56</v>
      </c>
      <c r="F357" s="227" t="s">
        <v>42</v>
      </c>
      <c r="G357" s="229">
        <f ca="1">OFFSET(INDIRECT(rtI.Anker3a),5,5)</f>
        <v>0</v>
      </c>
      <c r="H357" s="227" t="str">
        <f t="shared" ca="1" si="25"/>
        <v/>
      </c>
      <c r="I357" s="227" t="str">
        <f t="shared" ca="1" si="29"/>
        <v/>
      </c>
      <c r="J357" s="227" t="str">
        <f t="shared" ca="1" si="26"/>
        <v/>
      </c>
      <c r="K357" s="230" t="str">
        <f t="shared" ca="1" si="27"/>
        <v/>
      </c>
      <c r="L357" s="231" t="str">
        <f t="shared" ca="1" si="28"/>
        <v/>
      </c>
    </row>
    <row r="358" spans="1:12" x14ac:dyDescent="0.25">
      <c r="A358" s="227" t="str">
        <f>TEXT('1 Récapitulation'!$E$10 &amp; "-SHR","@")</f>
        <v>-SHR</v>
      </c>
      <c r="B358" s="228" t="str">
        <f ca="1">TEXT(IF(G358&lt;&gt; 0,OFFSET(INDIRECT(rtI.Anker3a),6,0),""),"@")</f>
        <v/>
      </c>
      <c r="C358" s="227" t="s">
        <v>55</v>
      </c>
      <c r="D358" s="227" t="s">
        <v>2</v>
      </c>
      <c r="E358" s="227" t="s">
        <v>56</v>
      </c>
      <c r="F358" s="227" t="s">
        <v>42</v>
      </c>
      <c r="G358" s="229">
        <f ca="1">OFFSET(INDIRECT(rtI.Anker3a),6,5)</f>
        <v>0</v>
      </c>
      <c r="H358" s="227" t="str">
        <f t="shared" ca="1" si="25"/>
        <v/>
      </c>
      <c r="I358" s="227" t="str">
        <f t="shared" ca="1" si="29"/>
        <v/>
      </c>
      <c r="J358" s="227" t="str">
        <f t="shared" ca="1" si="26"/>
        <v/>
      </c>
      <c r="K358" s="230" t="str">
        <f t="shared" ca="1" si="27"/>
        <v/>
      </c>
      <c r="L358" s="231" t="str">
        <f t="shared" ca="1" si="28"/>
        <v/>
      </c>
    </row>
    <row r="359" spans="1:12" x14ac:dyDescent="0.25">
      <c r="A359" s="227" t="str">
        <f>TEXT('1 Récapitulation'!$E$10 &amp; "-SHR","@")</f>
        <v>-SHR</v>
      </c>
      <c r="B359" s="228" t="str">
        <f ca="1">TEXT(IF(G359&lt;&gt; 0,OFFSET(INDIRECT(rtI.Anker3a),7,0),""),"@")</f>
        <v/>
      </c>
      <c r="C359" s="227" t="s">
        <v>55</v>
      </c>
      <c r="D359" s="227" t="s">
        <v>2</v>
      </c>
      <c r="E359" s="227" t="s">
        <v>56</v>
      </c>
      <c r="F359" s="227" t="s">
        <v>42</v>
      </c>
      <c r="G359" s="229">
        <f ca="1">OFFSET(INDIRECT(rtI.Anker3a),7,5)</f>
        <v>0</v>
      </c>
      <c r="H359" s="227" t="str">
        <f t="shared" ca="1" si="25"/>
        <v/>
      </c>
      <c r="I359" s="227" t="str">
        <f t="shared" ca="1" si="29"/>
        <v/>
      </c>
      <c r="J359" s="227" t="str">
        <f t="shared" ca="1" si="26"/>
        <v/>
      </c>
      <c r="K359" s="230" t="str">
        <f t="shared" ca="1" si="27"/>
        <v/>
      </c>
      <c r="L359" s="231" t="str">
        <f t="shared" ca="1" si="28"/>
        <v/>
      </c>
    </row>
    <row r="360" spans="1:12" x14ac:dyDescent="0.25">
      <c r="A360" s="227" t="str">
        <f>TEXT('1 Récapitulation'!$E$10 &amp; "-SHR","@")</f>
        <v>-SHR</v>
      </c>
      <c r="B360" s="228" t="str">
        <f ca="1">TEXT(IF(G360&lt;&gt; 0,OFFSET(INDIRECT(rtI.Anker3a),8,0),""),"@")</f>
        <v/>
      </c>
      <c r="C360" s="227" t="s">
        <v>55</v>
      </c>
      <c r="D360" s="227" t="s">
        <v>2</v>
      </c>
      <c r="E360" s="227" t="s">
        <v>56</v>
      </c>
      <c r="F360" s="227" t="s">
        <v>42</v>
      </c>
      <c r="G360" s="229">
        <f ca="1">OFFSET(INDIRECT(rtI.Anker3a),8,5)</f>
        <v>0</v>
      </c>
      <c r="H360" s="227" t="str">
        <f t="shared" ca="1" si="25"/>
        <v/>
      </c>
      <c r="I360" s="227" t="str">
        <f t="shared" ca="1" si="29"/>
        <v/>
      </c>
      <c r="J360" s="227" t="str">
        <f t="shared" ca="1" si="26"/>
        <v/>
      </c>
      <c r="K360" s="230" t="str">
        <f t="shared" ca="1" si="27"/>
        <v/>
      </c>
      <c r="L360" s="231" t="str">
        <f t="shared" ca="1" si="28"/>
        <v/>
      </c>
    </row>
    <row r="361" spans="1:12" x14ac:dyDescent="0.25">
      <c r="A361" s="227" t="str">
        <f>TEXT('1 Récapitulation'!$E$10 &amp; "-SHR","@")</f>
        <v>-SHR</v>
      </c>
      <c r="B361" s="228" t="str">
        <f ca="1">TEXT(IF(G361&lt;&gt; 0,OFFSET(INDIRECT(rtI.Anker3a),9,0),""),"@")</f>
        <v/>
      </c>
      <c r="C361" s="227" t="s">
        <v>55</v>
      </c>
      <c r="D361" s="227" t="s">
        <v>2</v>
      </c>
      <c r="E361" s="227" t="s">
        <v>56</v>
      </c>
      <c r="F361" s="227" t="s">
        <v>42</v>
      </c>
      <c r="G361" s="229">
        <f ca="1">OFFSET(INDIRECT(rtI.Anker3a),9,5)</f>
        <v>0</v>
      </c>
      <c r="H361" s="227" t="str">
        <f t="shared" ca="1" si="25"/>
        <v/>
      </c>
      <c r="I361" s="227" t="str">
        <f t="shared" ca="1" si="29"/>
        <v/>
      </c>
      <c r="J361" s="227" t="str">
        <f t="shared" ca="1" si="26"/>
        <v/>
      </c>
      <c r="K361" s="230" t="str">
        <f t="shared" ca="1" si="27"/>
        <v/>
      </c>
      <c r="L361" s="231" t="str">
        <f t="shared" ca="1" si="28"/>
        <v/>
      </c>
    </row>
    <row r="362" spans="1:12" x14ac:dyDescent="0.25">
      <c r="A362" s="227" t="str">
        <f>TEXT('1 Récapitulation'!$E$10 &amp; "-SHR","@")</f>
        <v>-SHR</v>
      </c>
      <c r="B362" s="228" t="str">
        <f ca="1">TEXT(IF(G362&lt;&gt; 0,OFFSET(INDIRECT(rtI.Anker3a),10,0),""),"@")</f>
        <v/>
      </c>
      <c r="C362" s="227" t="s">
        <v>55</v>
      </c>
      <c r="D362" s="227" t="s">
        <v>2</v>
      </c>
      <c r="E362" s="227" t="s">
        <v>56</v>
      </c>
      <c r="F362" s="227" t="s">
        <v>42</v>
      </c>
      <c r="G362" s="229">
        <f ca="1">OFFSET(INDIRECT(rtI.Anker3a),10,5)</f>
        <v>0</v>
      </c>
      <c r="H362" s="227" t="str">
        <f t="shared" ca="1" si="25"/>
        <v/>
      </c>
      <c r="I362" s="227" t="str">
        <f t="shared" ca="1" si="29"/>
        <v/>
      </c>
      <c r="J362" s="227" t="str">
        <f t="shared" ca="1" si="26"/>
        <v/>
      </c>
      <c r="K362" s="230" t="str">
        <f t="shared" ca="1" si="27"/>
        <v/>
      </c>
      <c r="L362" s="231" t="str">
        <f t="shared" ca="1" si="28"/>
        <v/>
      </c>
    </row>
    <row r="363" spans="1:12" x14ac:dyDescent="0.25">
      <c r="A363" s="227" t="str">
        <f>TEXT('1 Récapitulation'!$E$10 &amp; "-SHR","@")</f>
        <v>-SHR</v>
      </c>
      <c r="B363" s="228" t="str">
        <f ca="1">TEXT(IF(G363&lt;&gt; 0,OFFSET(INDIRECT(rtI.Anker3a),11,0),""),"@")</f>
        <v/>
      </c>
      <c r="C363" s="227" t="s">
        <v>55</v>
      </c>
      <c r="D363" s="227" t="s">
        <v>2</v>
      </c>
      <c r="E363" s="227" t="s">
        <v>56</v>
      </c>
      <c r="F363" s="227" t="s">
        <v>42</v>
      </c>
      <c r="G363" s="229">
        <f ca="1">OFFSET(INDIRECT(rtI.Anker3a),11,5)</f>
        <v>0</v>
      </c>
      <c r="H363" s="227" t="str">
        <f t="shared" ca="1" si="25"/>
        <v/>
      </c>
      <c r="I363" s="227" t="str">
        <f t="shared" ca="1" si="29"/>
        <v/>
      </c>
      <c r="J363" s="227" t="str">
        <f t="shared" ca="1" si="26"/>
        <v/>
      </c>
      <c r="K363" s="230" t="str">
        <f t="shared" ca="1" si="27"/>
        <v/>
      </c>
      <c r="L363" s="231" t="str">
        <f t="shared" ca="1" si="28"/>
        <v/>
      </c>
    </row>
    <row r="364" spans="1:12" x14ac:dyDescent="0.25">
      <c r="A364" s="227" t="str">
        <f>TEXT('1 Récapitulation'!$E$10 &amp; "-SHR","@")</f>
        <v>-SHR</v>
      </c>
      <c r="B364" s="228" t="str">
        <f ca="1">TEXT(IF(G364&lt;&gt; 0,OFFSET(INDIRECT(rtI.Anker3a),12,0),""),"@")</f>
        <v/>
      </c>
      <c r="C364" s="227" t="s">
        <v>55</v>
      </c>
      <c r="D364" s="227" t="s">
        <v>2</v>
      </c>
      <c r="E364" s="227" t="s">
        <v>56</v>
      </c>
      <c r="F364" s="227" t="s">
        <v>42</v>
      </c>
      <c r="G364" s="229">
        <f ca="1">OFFSET(INDIRECT(rtI.Anker3a),12,5)</f>
        <v>0</v>
      </c>
      <c r="H364" s="227" t="str">
        <f t="shared" ca="1" si="25"/>
        <v/>
      </c>
      <c r="I364" s="227" t="str">
        <f t="shared" ca="1" si="29"/>
        <v/>
      </c>
      <c r="J364" s="227" t="str">
        <f t="shared" ca="1" si="26"/>
        <v/>
      </c>
      <c r="K364" s="230" t="str">
        <f t="shared" ca="1" si="27"/>
        <v/>
      </c>
      <c r="L364" s="231" t="str">
        <f t="shared" ca="1" si="28"/>
        <v/>
      </c>
    </row>
    <row r="365" spans="1:12" x14ac:dyDescent="0.25">
      <c r="A365" s="227" t="str">
        <f>TEXT('1 Récapitulation'!$E$10 &amp; "-SHR","@")</f>
        <v>-SHR</v>
      </c>
      <c r="B365" s="228" t="str">
        <f ca="1">TEXT(IF(G365&lt;&gt; 0,OFFSET(INDIRECT(rtI.Anker3a),13,0),""),"@")</f>
        <v/>
      </c>
      <c r="C365" s="227" t="s">
        <v>55</v>
      </c>
      <c r="D365" s="227" t="s">
        <v>2</v>
      </c>
      <c r="E365" s="227" t="s">
        <v>56</v>
      </c>
      <c r="F365" s="227" t="s">
        <v>42</v>
      </c>
      <c r="G365" s="229">
        <f ca="1">OFFSET(INDIRECT(rtI.Anker3a),13,5)</f>
        <v>0</v>
      </c>
      <c r="H365" s="227" t="str">
        <f t="shared" ca="1" si="25"/>
        <v/>
      </c>
      <c r="I365" s="227" t="str">
        <f t="shared" ca="1" si="29"/>
        <v/>
      </c>
      <c r="J365" s="227" t="str">
        <f t="shared" ca="1" si="26"/>
        <v/>
      </c>
      <c r="K365" s="230" t="str">
        <f t="shared" ca="1" si="27"/>
        <v/>
      </c>
      <c r="L365" s="231" t="str">
        <f t="shared" ca="1" si="28"/>
        <v/>
      </c>
    </row>
    <row r="366" spans="1:12" x14ac:dyDescent="0.25">
      <c r="A366" s="227" t="str">
        <f>TEXT('1 Récapitulation'!$E$10 &amp; "-SHR","@")</f>
        <v>-SHR</v>
      </c>
      <c r="B366" s="228" t="str">
        <f ca="1">TEXT(IF(G366&lt;&gt; 0,OFFSET(INDIRECT(rtI.Anker3a),14,0),""),"@")</f>
        <v/>
      </c>
      <c r="C366" s="227" t="s">
        <v>55</v>
      </c>
      <c r="D366" s="227" t="s">
        <v>2</v>
      </c>
      <c r="E366" s="227" t="s">
        <v>56</v>
      </c>
      <c r="F366" s="227" t="s">
        <v>42</v>
      </c>
      <c r="G366" s="229">
        <f ca="1">OFFSET(INDIRECT(rtI.Anker3a),14,5)</f>
        <v>0</v>
      </c>
      <c r="H366" s="227" t="str">
        <f t="shared" ca="1" si="25"/>
        <v/>
      </c>
      <c r="I366" s="227" t="str">
        <f t="shared" ca="1" si="29"/>
        <v/>
      </c>
      <c r="J366" s="227" t="str">
        <f t="shared" ca="1" si="26"/>
        <v/>
      </c>
      <c r="K366" s="230" t="str">
        <f t="shared" ca="1" si="27"/>
        <v/>
      </c>
      <c r="L366" s="231" t="str">
        <f t="shared" ca="1" si="28"/>
        <v/>
      </c>
    </row>
    <row r="367" spans="1:12" x14ac:dyDescent="0.25">
      <c r="A367" s="227" t="str">
        <f>TEXT('1 Récapitulation'!$E$10 &amp; "-SHR","@")</f>
        <v>-SHR</v>
      </c>
      <c r="B367" s="228" t="str">
        <f ca="1">TEXT(IF(G367&lt;&gt; 0,OFFSET(INDIRECT(rtI.Anker3a),15,0),""),"@")</f>
        <v/>
      </c>
      <c r="C367" s="227" t="s">
        <v>55</v>
      </c>
      <c r="D367" s="227" t="s">
        <v>2</v>
      </c>
      <c r="E367" s="227" t="s">
        <v>56</v>
      </c>
      <c r="F367" s="227" t="s">
        <v>42</v>
      </c>
      <c r="G367" s="229">
        <f ca="1">OFFSET(INDIRECT(rtI.Anker3a),15,5)</f>
        <v>0</v>
      </c>
      <c r="H367" s="227" t="str">
        <f t="shared" ca="1" si="25"/>
        <v/>
      </c>
      <c r="I367" s="227" t="str">
        <f t="shared" ca="1" si="29"/>
        <v/>
      </c>
      <c r="J367" s="227" t="str">
        <f t="shared" ca="1" si="26"/>
        <v/>
      </c>
      <c r="K367" s="230" t="str">
        <f t="shared" ca="1" si="27"/>
        <v/>
      </c>
      <c r="L367" s="231" t="str">
        <f t="shared" ca="1" si="28"/>
        <v/>
      </c>
    </row>
    <row r="368" spans="1:12" x14ac:dyDescent="0.25">
      <c r="A368" s="227" t="str">
        <f>TEXT('1 Récapitulation'!$E$10 &amp; "-SHR","@")</f>
        <v>-SHR</v>
      </c>
      <c r="B368" s="228" t="str">
        <f ca="1">TEXT(IF(G368&lt;&gt; 0,OFFSET(INDIRECT(rtI.Anker3a),16,0),""),"@")</f>
        <v/>
      </c>
      <c r="C368" s="227" t="s">
        <v>55</v>
      </c>
      <c r="D368" s="227" t="s">
        <v>2</v>
      </c>
      <c r="E368" s="227" t="s">
        <v>56</v>
      </c>
      <c r="F368" s="227" t="s">
        <v>42</v>
      </c>
      <c r="G368" s="229">
        <f ca="1">OFFSET(INDIRECT(rtI.Anker3a),16,5)</f>
        <v>0</v>
      </c>
      <c r="H368" s="227" t="str">
        <f t="shared" ca="1" si="25"/>
        <v/>
      </c>
      <c r="I368" s="227" t="str">
        <f t="shared" ca="1" si="29"/>
        <v/>
      </c>
      <c r="J368" s="227" t="str">
        <f t="shared" ca="1" si="26"/>
        <v/>
      </c>
      <c r="K368" s="230" t="str">
        <f t="shared" ca="1" si="27"/>
        <v/>
      </c>
      <c r="L368" s="231" t="str">
        <f t="shared" ca="1" si="28"/>
        <v/>
      </c>
    </row>
    <row r="369" spans="1:12" x14ac:dyDescent="0.25">
      <c r="A369" s="227" t="str">
        <f>TEXT('1 Récapitulation'!$E$10 &amp; "-SHR","@")</f>
        <v>-SHR</v>
      </c>
      <c r="B369" s="228" t="str">
        <f ca="1">TEXT(IF(G369&lt;&gt; 0,OFFSET(INDIRECT(rtI.Anker3a),17,0),""),"@")</f>
        <v/>
      </c>
      <c r="C369" s="227" t="s">
        <v>55</v>
      </c>
      <c r="D369" s="227" t="s">
        <v>2</v>
      </c>
      <c r="E369" s="227" t="s">
        <v>56</v>
      </c>
      <c r="F369" s="227" t="s">
        <v>42</v>
      </c>
      <c r="G369" s="229">
        <f ca="1">OFFSET(INDIRECT(rtI.Anker3a),17,5)</f>
        <v>0</v>
      </c>
      <c r="H369" s="227" t="str">
        <f t="shared" ca="1" si="25"/>
        <v/>
      </c>
      <c r="I369" s="227" t="str">
        <f t="shared" ca="1" si="29"/>
        <v/>
      </c>
      <c r="J369" s="227" t="str">
        <f t="shared" ca="1" si="26"/>
        <v/>
      </c>
      <c r="K369" s="230" t="str">
        <f t="shared" ca="1" si="27"/>
        <v/>
      </c>
      <c r="L369" s="231" t="str">
        <f t="shared" ca="1" si="28"/>
        <v/>
      </c>
    </row>
    <row r="370" spans="1:12" x14ac:dyDescent="0.25">
      <c r="A370" s="227" t="str">
        <f>TEXT('1 Récapitulation'!$E$10 &amp; "-SHR","@")</f>
        <v>-SHR</v>
      </c>
      <c r="B370" s="228" t="str">
        <f ca="1">TEXT(IF(G370&lt;&gt; 0,OFFSET(INDIRECT(rtI.Anker3a),18,0),""),"@")</f>
        <v/>
      </c>
      <c r="C370" s="227" t="s">
        <v>55</v>
      </c>
      <c r="D370" s="227" t="s">
        <v>2</v>
      </c>
      <c r="E370" s="227" t="s">
        <v>56</v>
      </c>
      <c r="F370" s="227" t="s">
        <v>42</v>
      </c>
      <c r="G370" s="229">
        <f ca="1">OFFSET(INDIRECT(rtI.Anker3a),18,5)</f>
        <v>0</v>
      </c>
      <c r="H370" s="227" t="str">
        <f t="shared" ca="1" si="25"/>
        <v/>
      </c>
      <c r="I370" s="227" t="str">
        <f t="shared" ca="1" si="29"/>
        <v/>
      </c>
      <c r="J370" s="227" t="str">
        <f t="shared" ca="1" si="26"/>
        <v/>
      </c>
      <c r="K370" s="230" t="str">
        <f t="shared" ca="1" si="27"/>
        <v/>
      </c>
      <c r="L370" s="231" t="str">
        <f t="shared" ca="1" si="28"/>
        <v/>
      </c>
    </row>
    <row r="371" spans="1:12" x14ac:dyDescent="0.25">
      <c r="A371" s="227" t="str">
        <f>TEXT('1 Récapitulation'!$E$10 &amp; "-SHR","@")</f>
        <v>-SHR</v>
      </c>
      <c r="B371" s="228" t="str">
        <f ca="1">TEXT(IF(G371&lt;&gt; 0,OFFSET(INDIRECT(rtI.Anker3a),19,0),""),"@")</f>
        <v/>
      </c>
      <c r="C371" s="227" t="s">
        <v>55</v>
      </c>
      <c r="D371" s="227" t="s">
        <v>2</v>
      </c>
      <c r="E371" s="227" t="s">
        <v>56</v>
      </c>
      <c r="F371" s="227" t="s">
        <v>42</v>
      </c>
      <c r="G371" s="229">
        <f ca="1">OFFSET(INDIRECT(rtI.Anker3a),19,5)</f>
        <v>0</v>
      </c>
      <c r="H371" s="227" t="str">
        <f t="shared" ca="1" si="25"/>
        <v/>
      </c>
      <c r="I371" s="227" t="str">
        <f t="shared" ca="1" si="29"/>
        <v/>
      </c>
      <c r="J371" s="227" t="str">
        <f t="shared" ca="1" si="26"/>
        <v/>
      </c>
      <c r="K371" s="230" t="str">
        <f t="shared" ca="1" si="27"/>
        <v/>
      </c>
      <c r="L371" s="231" t="str">
        <f t="shared" ca="1" si="28"/>
        <v/>
      </c>
    </row>
    <row r="372" spans="1:12" x14ac:dyDescent="0.25">
      <c r="A372" s="227" t="str">
        <f>TEXT('1 Récapitulation'!$E$10 &amp; "-SHR","@")</f>
        <v>-SHR</v>
      </c>
      <c r="B372" s="228" t="str">
        <f ca="1">TEXT(IF(G372&lt;&gt; 0,OFFSET(INDIRECT(rtI.Anker3a),20,0),""),"@")</f>
        <v/>
      </c>
      <c r="C372" s="227" t="s">
        <v>55</v>
      </c>
      <c r="D372" s="227" t="s">
        <v>2</v>
      </c>
      <c r="E372" s="227" t="s">
        <v>56</v>
      </c>
      <c r="F372" s="227" t="s">
        <v>42</v>
      </c>
      <c r="G372" s="229">
        <f ca="1">OFFSET(INDIRECT(rtI.Anker3a),20,5)</f>
        <v>0</v>
      </c>
      <c r="H372" s="227" t="str">
        <f t="shared" ca="1" si="25"/>
        <v/>
      </c>
      <c r="I372" s="227" t="str">
        <f t="shared" ca="1" si="29"/>
        <v/>
      </c>
      <c r="J372" s="227" t="str">
        <f t="shared" ca="1" si="26"/>
        <v/>
      </c>
      <c r="K372" s="230" t="str">
        <f t="shared" ca="1" si="27"/>
        <v/>
      </c>
      <c r="L372" s="231" t="str">
        <f t="shared" ca="1" si="28"/>
        <v/>
      </c>
    </row>
    <row r="373" spans="1:12" x14ac:dyDescent="0.25">
      <c r="A373" s="227" t="str">
        <f>TEXT('1 Récapitulation'!$E$10 &amp; "-SHR","@")</f>
        <v>-SHR</v>
      </c>
      <c r="B373" s="228" t="str">
        <f ca="1">TEXT(IF(G373&lt;&gt; 0,OFFSET(INDIRECT(rtI.Anker3a),21,0),""),"@")</f>
        <v/>
      </c>
      <c r="C373" s="227" t="s">
        <v>55</v>
      </c>
      <c r="D373" s="227" t="s">
        <v>2</v>
      </c>
      <c r="E373" s="227" t="s">
        <v>56</v>
      </c>
      <c r="F373" s="227" t="s">
        <v>42</v>
      </c>
      <c r="G373" s="229">
        <f ca="1">OFFSET(INDIRECT(rtI.Anker3a),21,5)</f>
        <v>0</v>
      </c>
      <c r="H373" s="227" t="str">
        <f t="shared" ca="1" si="25"/>
        <v/>
      </c>
      <c r="I373" s="227" t="str">
        <f t="shared" ca="1" si="29"/>
        <v/>
      </c>
      <c r="J373" s="227" t="str">
        <f t="shared" ca="1" si="26"/>
        <v/>
      </c>
      <c r="K373" s="230" t="str">
        <f t="shared" ca="1" si="27"/>
        <v/>
      </c>
      <c r="L373" s="231" t="str">
        <f t="shared" ca="1" si="28"/>
        <v/>
      </c>
    </row>
    <row r="374" spans="1:12" x14ac:dyDescent="0.25">
      <c r="A374" s="227" t="str">
        <f>TEXT('1 Récapitulation'!$E$10 &amp; "-SHR","@")</f>
        <v>-SHR</v>
      </c>
      <c r="B374" s="228" t="str">
        <f ca="1">TEXT(IF(G374&lt;&gt; 0,OFFSET(INDIRECT(rtI.Anker3a),22,0),""),"@")</f>
        <v/>
      </c>
      <c r="C374" s="227" t="s">
        <v>55</v>
      </c>
      <c r="D374" s="227" t="s">
        <v>2</v>
      </c>
      <c r="E374" s="227" t="s">
        <v>56</v>
      </c>
      <c r="F374" s="227" t="s">
        <v>42</v>
      </c>
      <c r="G374" s="229">
        <f ca="1">OFFSET(INDIRECT(rtI.Anker3a),22,5)</f>
        <v>0</v>
      </c>
      <c r="H374" s="227" t="str">
        <f t="shared" ca="1" si="25"/>
        <v/>
      </c>
      <c r="I374" s="227" t="str">
        <f t="shared" ca="1" si="29"/>
        <v/>
      </c>
      <c r="J374" s="227" t="str">
        <f t="shared" ca="1" si="26"/>
        <v/>
      </c>
      <c r="K374" s="230" t="str">
        <f t="shared" ca="1" si="27"/>
        <v/>
      </c>
      <c r="L374" s="231" t="str">
        <f t="shared" ca="1" si="28"/>
        <v/>
      </c>
    </row>
    <row r="375" spans="1:12" x14ac:dyDescent="0.25">
      <c r="A375" s="227" t="str">
        <f>TEXT('1 Récapitulation'!$E$10 &amp; "-SHR","@")</f>
        <v>-SHR</v>
      </c>
      <c r="B375" s="228" t="str">
        <f ca="1">TEXT(IF(G375&lt;&gt; 0,OFFSET(INDIRECT(rtI.Anker3a),23,0),""),"@")</f>
        <v/>
      </c>
      <c r="C375" s="227" t="s">
        <v>55</v>
      </c>
      <c r="D375" s="227" t="s">
        <v>2</v>
      </c>
      <c r="E375" s="227" t="s">
        <v>56</v>
      </c>
      <c r="F375" s="227" t="s">
        <v>42</v>
      </c>
      <c r="G375" s="229">
        <f ca="1">OFFSET(INDIRECT(rtI.Anker3a),23,5)</f>
        <v>0</v>
      </c>
      <c r="H375" s="227" t="str">
        <f t="shared" ca="1" si="25"/>
        <v/>
      </c>
      <c r="I375" s="227" t="str">
        <f t="shared" ca="1" si="29"/>
        <v/>
      </c>
      <c r="J375" s="227" t="str">
        <f t="shared" ca="1" si="26"/>
        <v/>
      </c>
      <c r="K375" s="230" t="str">
        <f t="shared" ca="1" si="27"/>
        <v/>
      </c>
      <c r="L375" s="231" t="str">
        <f t="shared" ca="1" si="28"/>
        <v/>
      </c>
    </row>
    <row r="376" spans="1:12" x14ac:dyDescent="0.25">
      <c r="A376" s="227" t="str">
        <f>TEXT('1 Récapitulation'!$E$10 &amp; "-SHR","@")</f>
        <v>-SHR</v>
      </c>
      <c r="B376" s="228" t="str">
        <f ca="1">TEXT(IF(G376&lt;&gt; 0,OFFSET(INDIRECT(rtI.Anker3a),24,0),""),"@")</f>
        <v/>
      </c>
      <c r="C376" s="227" t="s">
        <v>55</v>
      </c>
      <c r="D376" s="227" t="s">
        <v>2</v>
      </c>
      <c r="E376" s="227" t="s">
        <v>56</v>
      </c>
      <c r="F376" s="227" t="s">
        <v>42</v>
      </c>
      <c r="G376" s="229">
        <f ca="1">OFFSET(INDIRECT(rtI.Anker3a),24,5)</f>
        <v>0</v>
      </c>
      <c r="H376" s="227" t="str">
        <f t="shared" ca="1" si="25"/>
        <v/>
      </c>
      <c r="I376" s="227" t="str">
        <f t="shared" ca="1" si="29"/>
        <v/>
      </c>
      <c r="J376" s="227" t="str">
        <f t="shared" ca="1" si="26"/>
        <v/>
      </c>
      <c r="K376" s="230" t="str">
        <f t="shared" ca="1" si="27"/>
        <v/>
      </c>
      <c r="L376" s="231" t="str">
        <f t="shared" ca="1" si="28"/>
        <v/>
      </c>
    </row>
    <row r="377" spans="1:12" x14ac:dyDescent="0.25">
      <c r="A377" s="227" t="str">
        <f>TEXT('1 Récapitulation'!$E$10 &amp; "-SHR","@")</f>
        <v>-SHR</v>
      </c>
      <c r="B377" s="228" t="str">
        <f ca="1">TEXT(IF(G377&lt;&gt; 0,OFFSET(INDIRECT(rtI.Anker3a),25,0),""),"@")</f>
        <v/>
      </c>
      <c r="C377" s="227" t="s">
        <v>55</v>
      </c>
      <c r="D377" s="227" t="s">
        <v>2</v>
      </c>
      <c r="E377" s="227" t="s">
        <v>56</v>
      </c>
      <c r="F377" s="227" t="s">
        <v>42</v>
      </c>
      <c r="G377" s="229">
        <f ca="1">OFFSET(INDIRECT(rtI.Anker3a),25,5)</f>
        <v>0</v>
      </c>
      <c r="H377" s="227" t="str">
        <f t="shared" ca="1" si="25"/>
        <v/>
      </c>
      <c r="I377" s="227" t="str">
        <f t="shared" ca="1" si="29"/>
        <v/>
      </c>
      <c r="J377" s="227" t="str">
        <f t="shared" ca="1" si="26"/>
        <v/>
      </c>
      <c r="K377" s="230" t="str">
        <f t="shared" ca="1" si="27"/>
        <v/>
      </c>
      <c r="L377" s="231" t="str">
        <f t="shared" ca="1" si="28"/>
        <v/>
      </c>
    </row>
    <row r="378" spans="1:12" x14ac:dyDescent="0.25">
      <c r="A378" s="227" t="str">
        <f>TEXT('1 Récapitulation'!$E$10 &amp; "-SHR","@")</f>
        <v>-SHR</v>
      </c>
      <c r="B378" s="228" t="str">
        <f ca="1">TEXT(IF(G378&lt;&gt; 0,OFFSET(INDIRECT(rtI.Anker3a),26,0),""),"@")</f>
        <v/>
      </c>
      <c r="C378" s="227" t="s">
        <v>55</v>
      </c>
      <c r="D378" s="227" t="s">
        <v>2</v>
      </c>
      <c r="E378" s="227" t="s">
        <v>56</v>
      </c>
      <c r="F378" s="227" t="s">
        <v>42</v>
      </c>
      <c r="G378" s="229">
        <f ca="1">OFFSET(INDIRECT(rtI.Anker3a),26,5)</f>
        <v>0</v>
      </c>
      <c r="H378" s="227" t="str">
        <f t="shared" ca="1" si="25"/>
        <v/>
      </c>
      <c r="I378" s="227" t="str">
        <f t="shared" ca="1" si="29"/>
        <v/>
      </c>
      <c r="J378" s="227" t="str">
        <f t="shared" ca="1" si="26"/>
        <v/>
      </c>
      <c r="K378" s="230" t="str">
        <f t="shared" ca="1" si="27"/>
        <v/>
      </c>
      <c r="L378" s="231" t="str">
        <f t="shared" ca="1" si="28"/>
        <v/>
      </c>
    </row>
    <row r="379" spans="1:12" x14ac:dyDescent="0.25">
      <c r="A379" s="227" t="str">
        <f>TEXT('1 Récapitulation'!$E$10 &amp; "-SHR","@")</f>
        <v>-SHR</v>
      </c>
      <c r="B379" s="228" t="str">
        <f ca="1">TEXT(IF(G379&lt;&gt; 0,OFFSET(INDIRECT(rtI.Anker3a),27,0),""),"@")</f>
        <v/>
      </c>
      <c r="C379" s="227" t="s">
        <v>55</v>
      </c>
      <c r="D379" s="227" t="s">
        <v>2</v>
      </c>
      <c r="E379" s="227" t="s">
        <v>56</v>
      </c>
      <c r="F379" s="227" t="s">
        <v>42</v>
      </c>
      <c r="G379" s="229">
        <f ca="1">OFFSET(INDIRECT(rtI.Anker3a),27,5)</f>
        <v>0</v>
      </c>
      <c r="H379" s="227" t="str">
        <f t="shared" ca="1" si="25"/>
        <v/>
      </c>
      <c r="I379" s="227" t="str">
        <f t="shared" ca="1" si="29"/>
        <v/>
      </c>
      <c r="J379" s="227" t="str">
        <f t="shared" ca="1" si="26"/>
        <v/>
      </c>
      <c r="K379" s="230" t="str">
        <f t="shared" ca="1" si="27"/>
        <v/>
      </c>
      <c r="L379" s="231" t="str">
        <f t="shared" ca="1" si="28"/>
        <v/>
      </c>
    </row>
    <row r="380" spans="1:12" x14ac:dyDescent="0.25">
      <c r="A380" s="227" t="str">
        <f>TEXT('1 Récapitulation'!$E$10 &amp; "-SHR","@")</f>
        <v>-SHR</v>
      </c>
      <c r="B380" s="228" t="str">
        <f ca="1">TEXT(IF(G380&lt;&gt; 0,OFFSET(INDIRECT(rtI.Anker3a),28,0),""),"@")</f>
        <v/>
      </c>
      <c r="C380" s="227" t="s">
        <v>55</v>
      </c>
      <c r="D380" s="227" t="s">
        <v>2</v>
      </c>
      <c r="E380" s="227" t="s">
        <v>56</v>
      </c>
      <c r="F380" s="227" t="s">
        <v>42</v>
      </c>
      <c r="G380" s="229">
        <f ca="1">OFFSET(INDIRECT(rtI.Anker3a),28,5)</f>
        <v>0</v>
      </c>
      <c r="H380" s="227" t="str">
        <f t="shared" ca="1" si="25"/>
        <v/>
      </c>
      <c r="I380" s="227" t="str">
        <f t="shared" ca="1" si="29"/>
        <v/>
      </c>
      <c r="J380" s="227" t="str">
        <f t="shared" ca="1" si="26"/>
        <v/>
      </c>
      <c r="K380" s="230" t="str">
        <f t="shared" ca="1" si="27"/>
        <v/>
      </c>
      <c r="L380" s="231" t="str">
        <f t="shared" ca="1" si="28"/>
        <v/>
      </c>
    </row>
    <row r="381" spans="1:12" x14ac:dyDescent="0.25">
      <c r="A381" s="227" t="str">
        <f>TEXT('1 Récapitulation'!$E$10 &amp; "-SHR","@")</f>
        <v>-SHR</v>
      </c>
      <c r="B381" s="228" t="str">
        <f ca="1">TEXT(IF(G381&lt;&gt; 0,OFFSET(INDIRECT(rtI.Anker3a),29,0),""),"@")</f>
        <v/>
      </c>
      <c r="C381" s="227" t="s">
        <v>55</v>
      </c>
      <c r="D381" s="227" t="s">
        <v>2</v>
      </c>
      <c r="E381" s="227" t="s">
        <v>56</v>
      </c>
      <c r="F381" s="227" t="s">
        <v>42</v>
      </c>
      <c r="G381" s="229">
        <f ca="1">OFFSET(INDIRECT(rtI.Anker3a),29,5)</f>
        <v>0</v>
      </c>
      <c r="H381" s="227" t="str">
        <f t="shared" ca="1" si="25"/>
        <v/>
      </c>
      <c r="I381" s="227" t="str">
        <f t="shared" ca="1" si="29"/>
        <v/>
      </c>
      <c r="J381" s="227" t="str">
        <f t="shared" ca="1" si="26"/>
        <v/>
      </c>
      <c r="K381" s="230" t="str">
        <f t="shared" ca="1" si="27"/>
        <v/>
      </c>
      <c r="L381" s="231" t="str">
        <f t="shared" ca="1" si="28"/>
        <v/>
      </c>
    </row>
    <row r="382" spans="1:12" x14ac:dyDescent="0.25">
      <c r="A382" s="227" t="str">
        <f>TEXT('1 Récapitulation'!$E$10 &amp; "-SHR","@")</f>
        <v>-SHR</v>
      </c>
      <c r="B382" s="228" t="str">
        <f ca="1">TEXT(IF(G382&lt;&gt; 0,OFFSET(INDIRECT(rtI.Anker3a),30,0),""),"@")</f>
        <v/>
      </c>
      <c r="C382" s="227" t="s">
        <v>55</v>
      </c>
      <c r="D382" s="227" t="s">
        <v>2</v>
      </c>
      <c r="E382" s="227" t="s">
        <v>56</v>
      </c>
      <c r="F382" s="227" t="s">
        <v>42</v>
      </c>
      <c r="G382" s="229">
        <f ca="1">OFFSET(INDIRECT(rtI.Anker3a),30,5)</f>
        <v>0</v>
      </c>
      <c r="H382" s="227" t="str">
        <f t="shared" ca="1" si="25"/>
        <v/>
      </c>
      <c r="I382" s="227" t="str">
        <f t="shared" ca="1" si="29"/>
        <v/>
      </c>
      <c r="J382" s="227" t="str">
        <f t="shared" ca="1" si="26"/>
        <v/>
      </c>
      <c r="K382" s="230" t="str">
        <f t="shared" ca="1" si="27"/>
        <v/>
      </c>
      <c r="L382" s="231" t="str">
        <f t="shared" ca="1" si="28"/>
        <v/>
      </c>
    </row>
    <row r="383" spans="1:12" x14ac:dyDescent="0.25">
      <c r="A383" s="227" t="str">
        <f>TEXT('1 Récapitulation'!$E$10 &amp; "-SHR","@")</f>
        <v>-SHR</v>
      </c>
      <c r="B383" s="228" t="str">
        <f ca="1">TEXT(IF(G383&lt;&gt; 0,OFFSET(INDIRECT(rtI.Anker3a),31,0),""),"@")</f>
        <v/>
      </c>
      <c r="C383" s="227" t="s">
        <v>55</v>
      </c>
      <c r="D383" s="227" t="s">
        <v>2</v>
      </c>
      <c r="E383" s="227" t="s">
        <v>56</v>
      </c>
      <c r="F383" s="227" t="s">
        <v>42</v>
      </c>
      <c r="G383" s="229">
        <f ca="1">OFFSET(INDIRECT(rtI.Anker3a),31,5)</f>
        <v>0</v>
      </c>
      <c r="H383" s="227" t="str">
        <f t="shared" ca="1" si="25"/>
        <v/>
      </c>
      <c r="I383" s="227" t="str">
        <f t="shared" ca="1" si="29"/>
        <v/>
      </c>
      <c r="J383" s="227" t="str">
        <f t="shared" ca="1" si="26"/>
        <v/>
      </c>
      <c r="K383" s="230" t="str">
        <f t="shared" ca="1" si="27"/>
        <v/>
      </c>
      <c r="L383" s="231" t="str">
        <f t="shared" ca="1" si="28"/>
        <v/>
      </c>
    </row>
    <row r="384" spans="1:12" x14ac:dyDescent="0.25">
      <c r="A384" s="227" t="str">
        <f>TEXT('1 Récapitulation'!$E$10 &amp; "-SHR","@")</f>
        <v>-SHR</v>
      </c>
      <c r="B384" s="228" t="str">
        <f ca="1">TEXT(IF(G384&lt;&gt; 0,OFFSET(INDIRECT(rtI.Anker3a),32,0),""),"@")</f>
        <v/>
      </c>
      <c r="C384" s="227" t="s">
        <v>55</v>
      </c>
      <c r="D384" s="227" t="s">
        <v>2</v>
      </c>
      <c r="E384" s="227" t="s">
        <v>56</v>
      </c>
      <c r="F384" s="227" t="s">
        <v>42</v>
      </c>
      <c r="G384" s="229">
        <f ca="1">OFFSET(INDIRECT(rtI.Anker3a),32,5)</f>
        <v>0</v>
      </c>
      <c r="H384" s="227" t="str">
        <f t="shared" ca="1" si="25"/>
        <v/>
      </c>
      <c r="I384" s="227" t="str">
        <f t="shared" ca="1" si="29"/>
        <v/>
      </c>
      <c r="J384" s="227" t="str">
        <f t="shared" ca="1" si="26"/>
        <v/>
      </c>
      <c r="K384" s="230" t="str">
        <f t="shared" ca="1" si="27"/>
        <v/>
      </c>
      <c r="L384" s="231" t="str">
        <f t="shared" ca="1" si="28"/>
        <v/>
      </c>
    </row>
    <row r="385" spans="1:12" x14ac:dyDescent="0.25">
      <c r="A385" s="227" t="str">
        <f>TEXT('1 Récapitulation'!$E$10 &amp; "-SHR","@")</f>
        <v>-SHR</v>
      </c>
      <c r="B385" s="228" t="str">
        <f ca="1">TEXT(IF(G385&lt;&gt; 0,OFFSET(INDIRECT(rtI.Anker3a),33,0),""),"@")</f>
        <v/>
      </c>
      <c r="C385" s="227" t="s">
        <v>55</v>
      </c>
      <c r="D385" s="227" t="s">
        <v>2</v>
      </c>
      <c r="E385" s="227" t="s">
        <v>56</v>
      </c>
      <c r="F385" s="227" t="s">
        <v>42</v>
      </c>
      <c r="G385" s="229">
        <f ca="1">OFFSET(INDIRECT(rtI.Anker3a),33,5)</f>
        <v>0</v>
      </c>
      <c r="H385" s="227" t="str">
        <f t="shared" ca="1" si="25"/>
        <v/>
      </c>
      <c r="I385" s="227" t="str">
        <f t="shared" ca="1" si="29"/>
        <v/>
      </c>
      <c r="J385" s="227" t="str">
        <f t="shared" ca="1" si="26"/>
        <v/>
      </c>
      <c r="K385" s="230" t="str">
        <f t="shared" ca="1" si="27"/>
        <v/>
      </c>
      <c r="L385" s="231" t="str">
        <f t="shared" ca="1" si="28"/>
        <v/>
      </c>
    </row>
    <row r="386" spans="1:12" x14ac:dyDescent="0.25">
      <c r="A386" s="227" t="str">
        <f>TEXT('1 Récapitulation'!$E$10 &amp; "-SHR","@")</f>
        <v>-SHR</v>
      </c>
      <c r="B386" s="228" t="str">
        <f ca="1">TEXT(IF(G386&lt;&gt; 0,OFFSET(INDIRECT(rtI.Anker3a),34,0),""),"@")</f>
        <v/>
      </c>
      <c r="C386" s="227" t="s">
        <v>55</v>
      </c>
      <c r="D386" s="227" t="s">
        <v>2</v>
      </c>
      <c r="E386" s="227" t="s">
        <v>56</v>
      </c>
      <c r="F386" s="227" t="s">
        <v>42</v>
      </c>
      <c r="G386" s="229">
        <f ca="1">OFFSET(INDIRECT(rtI.Anker3a),34,5)</f>
        <v>0</v>
      </c>
      <c r="H386" s="227" t="str">
        <f t="shared" ref="H386:H450" ca="1" si="30">IF(G386&lt;&gt;0,IF(F386="1000","Aufwand",IF(OR(F386="1001",F386="1002",F386="1003",F386="1004",F386="1004",F386="1005",F386="1006"),"Ertrag","")),"")</f>
        <v/>
      </c>
      <c r="I386" s="227" t="str">
        <f t="shared" ca="1" si="29"/>
        <v/>
      </c>
      <c r="J386" s="227" t="str">
        <f t="shared" ref="J386:J450" ca="1" si="31">IF(H386="Aufwand","Total Aufwand",IF(H386="Ertrag","Total Ertrag",""))</f>
        <v/>
      </c>
      <c r="K386" s="230" t="str">
        <f t="shared" ref="K386:K450" ca="1" si="32">IF(H386&lt;&gt;"","999999999.99","")</f>
        <v/>
      </c>
      <c r="L386" s="231" t="str">
        <f t="shared" ref="L386:L450" ca="1" si="33">IF(H386="Aufwand","900",IF(H386="Ertrag","901",""))</f>
        <v/>
      </c>
    </row>
    <row r="387" spans="1:12" x14ac:dyDescent="0.25">
      <c r="A387" s="227" t="str">
        <f>TEXT('1 Récapitulation'!$E$10 &amp; "-SHR","@")</f>
        <v>-SHR</v>
      </c>
      <c r="B387" s="228" t="str">
        <f ca="1">TEXT(IF(G387&lt;&gt; 0,OFFSET(INDIRECT(rtI.Anker3a),35,0),""),"@")</f>
        <v/>
      </c>
      <c r="C387" s="227" t="s">
        <v>55</v>
      </c>
      <c r="D387" s="227" t="s">
        <v>2</v>
      </c>
      <c r="E387" s="227" t="s">
        <v>56</v>
      </c>
      <c r="F387" s="227" t="s">
        <v>42</v>
      </c>
      <c r="G387" s="229">
        <f ca="1">OFFSET(INDIRECT(rtI.Anker3a),35,5)</f>
        <v>0</v>
      </c>
      <c r="H387" s="227" t="str">
        <f t="shared" ca="1" si="30"/>
        <v/>
      </c>
      <c r="I387" s="227" t="str">
        <f t="shared" ref="I387:I451" ca="1" si="34">IF(H387&lt;&gt;"","Total","")</f>
        <v/>
      </c>
      <c r="J387" s="227" t="str">
        <f t="shared" ca="1" si="31"/>
        <v/>
      </c>
      <c r="K387" s="230" t="str">
        <f t="shared" ca="1" si="32"/>
        <v/>
      </c>
      <c r="L387" s="231" t="str">
        <f t="shared" ca="1" si="33"/>
        <v/>
      </c>
    </row>
    <row r="388" spans="1:12" x14ac:dyDescent="0.25">
      <c r="A388" s="227" t="str">
        <f>TEXT('1 Récapitulation'!$E$10 &amp; "-SHR","@")</f>
        <v>-SHR</v>
      </c>
      <c r="B388" s="228" t="str">
        <f ca="1">TEXT(IF(G388&lt;&gt; 0,OFFSET(INDIRECT(rtI.Anker3a),36,0),""),"@")</f>
        <v/>
      </c>
      <c r="C388" s="227" t="s">
        <v>55</v>
      </c>
      <c r="D388" s="227" t="s">
        <v>2</v>
      </c>
      <c r="E388" s="227" t="s">
        <v>56</v>
      </c>
      <c r="F388" s="227" t="s">
        <v>42</v>
      </c>
      <c r="G388" s="229">
        <f ca="1">OFFSET(INDIRECT(rtI.Anker3a),36,5)</f>
        <v>0</v>
      </c>
      <c r="H388" s="227" t="str">
        <f t="shared" ca="1" si="30"/>
        <v/>
      </c>
      <c r="I388" s="227" t="str">
        <f t="shared" ca="1" si="34"/>
        <v/>
      </c>
      <c r="J388" s="227" t="str">
        <f t="shared" ca="1" si="31"/>
        <v/>
      </c>
      <c r="K388" s="230" t="str">
        <f t="shared" ca="1" si="32"/>
        <v/>
      </c>
      <c r="L388" s="231" t="str">
        <f t="shared" ca="1" si="33"/>
        <v/>
      </c>
    </row>
    <row r="389" spans="1:12" x14ac:dyDescent="0.25">
      <c r="A389" s="227" t="str">
        <f>TEXT('1 Récapitulation'!$E$10 &amp; "-SHR","@")</f>
        <v>-SHR</v>
      </c>
      <c r="B389" s="228" t="str">
        <f ca="1">TEXT(IF(G389&lt;&gt; 0,OFFSET(INDIRECT(rtI.Anker3a),37,0),""),"@")</f>
        <v/>
      </c>
      <c r="C389" s="227" t="s">
        <v>55</v>
      </c>
      <c r="D389" s="227" t="s">
        <v>2</v>
      </c>
      <c r="E389" s="227" t="s">
        <v>56</v>
      </c>
      <c r="F389" s="227" t="s">
        <v>42</v>
      </c>
      <c r="G389" s="229">
        <f ca="1">OFFSET(INDIRECT(rtI.Anker3a),37,5)</f>
        <v>0</v>
      </c>
      <c r="H389" s="227" t="str">
        <f t="shared" ca="1" si="30"/>
        <v/>
      </c>
      <c r="I389" s="227" t="str">
        <f t="shared" ca="1" si="34"/>
        <v/>
      </c>
      <c r="J389" s="227" t="str">
        <f t="shared" ca="1" si="31"/>
        <v/>
      </c>
      <c r="K389" s="230" t="str">
        <f t="shared" ca="1" si="32"/>
        <v/>
      </c>
      <c r="L389" s="231" t="str">
        <f t="shared" ca="1" si="33"/>
        <v/>
      </c>
    </row>
    <row r="390" spans="1:12" x14ac:dyDescent="0.25">
      <c r="A390" s="227" t="str">
        <f>TEXT('1 Récapitulation'!$E$10 &amp; "-SHR","@")</f>
        <v>-SHR</v>
      </c>
      <c r="B390" s="228" t="str">
        <f ca="1">TEXT(IF(G390&lt;&gt; 0,OFFSET(INDIRECT(rtI.Anker3a),0,0),""),"@")</f>
        <v/>
      </c>
      <c r="C390" s="227" t="s">
        <v>10</v>
      </c>
      <c r="D390" s="227" t="s">
        <v>45</v>
      </c>
      <c r="E390" s="227" t="s">
        <v>53</v>
      </c>
      <c r="F390" s="227" t="s">
        <v>46</v>
      </c>
      <c r="G390" s="229">
        <f ca="1">OFFSET(INDIRECT(rtI.Anker3a),0,6)</f>
        <v>0</v>
      </c>
      <c r="H390" s="227" t="str">
        <f t="shared" ca="1" si="30"/>
        <v/>
      </c>
      <c r="I390" s="227" t="str">
        <f t="shared" ca="1" si="34"/>
        <v/>
      </c>
      <c r="J390" s="227" t="str">
        <f t="shared" ca="1" si="31"/>
        <v/>
      </c>
      <c r="K390" s="230" t="str">
        <f t="shared" ca="1" si="32"/>
        <v/>
      </c>
      <c r="L390" s="231" t="str">
        <f t="shared" ca="1" si="33"/>
        <v/>
      </c>
    </row>
    <row r="391" spans="1:12" x14ac:dyDescent="0.25">
      <c r="A391" s="227" t="str">
        <f>TEXT('1 Récapitulation'!$E$10 &amp; "-SHR","@")</f>
        <v>-SHR</v>
      </c>
      <c r="B391" s="228" t="str">
        <f ca="1">TEXT(IF(G391&lt;&gt; 0,OFFSET(INDIRECT(rtI.Anker3a),1,0),""),"@")</f>
        <v/>
      </c>
      <c r="C391" s="227" t="s">
        <v>10</v>
      </c>
      <c r="D391" s="227" t="s">
        <v>45</v>
      </c>
      <c r="E391" s="227" t="s">
        <v>53</v>
      </c>
      <c r="F391" s="227" t="s">
        <v>46</v>
      </c>
      <c r="G391" s="229">
        <f ca="1">OFFSET(INDIRECT(rtI.Anker3a),1,6)</f>
        <v>0</v>
      </c>
      <c r="H391" s="227" t="str">
        <f t="shared" ca="1" si="30"/>
        <v/>
      </c>
      <c r="I391" s="227" t="str">
        <f t="shared" ca="1" si="34"/>
        <v/>
      </c>
      <c r="J391" s="227" t="str">
        <f t="shared" ca="1" si="31"/>
        <v/>
      </c>
      <c r="K391" s="230" t="str">
        <f t="shared" ca="1" si="32"/>
        <v/>
      </c>
      <c r="L391" s="231" t="str">
        <f t="shared" ca="1" si="33"/>
        <v/>
      </c>
    </row>
    <row r="392" spans="1:12" x14ac:dyDescent="0.25">
      <c r="A392" s="227" t="str">
        <f>TEXT('1 Récapitulation'!$E$10 &amp; "-SHR","@")</f>
        <v>-SHR</v>
      </c>
      <c r="B392" s="228" t="str">
        <f ca="1">TEXT(IF(G392&lt;&gt; 0,OFFSET(INDIRECT(rtI.Anker3a),2,0),""),"@")</f>
        <v/>
      </c>
      <c r="C392" s="227" t="s">
        <v>10</v>
      </c>
      <c r="D392" s="227" t="s">
        <v>45</v>
      </c>
      <c r="E392" s="227" t="s">
        <v>53</v>
      </c>
      <c r="F392" s="227" t="s">
        <v>46</v>
      </c>
      <c r="G392" s="229">
        <f ca="1">OFFSET(INDIRECT(rtI.Anker3a),2,6)</f>
        <v>0</v>
      </c>
      <c r="H392" s="227" t="str">
        <f t="shared" ca="1" si="30"/>
        <v/>
      </c>
      <c r="I392" s="227" t="str">
        <f t="shared" ca="1" si="34"/>
        <v/>
      </c>
      <c r="J392" s="227" t="str">
        <f t="shared" ca="1" si="31"/>
        <v/>
      </c>
      <c r="K392" s="230" t="str">
        <f t="shared" ca="1" si="32"/>
        <v/>
      </c>
      <c r="L392" s="231" t="str">
        <f t="shared" ca="1" si="33"/>
        <v/>
      </c>
    </row>
    <row r="393" spans="1:12" x14ac:dyDescent="0.25">
      <c r="A393" s="227" t="str">
        <f>TEXT('1 Récapitulation'!$E$10 &amp; "-SHR","@")</f>
        <v>-SHR</v>
      </c>
      <c r="B393" s="228" t="str">
        <f ca="1">TEXT(IF(G393&lt;&gt; 0,OFFSET(INDIRECT(rtI.Anker3a),3,0),""),"@")</f>
        <v/>
      </c>
      <c r="C393" s="227" t="s">
        <v>10</v>
      </c>
      <c r="D393" s="227" t="s">
        <v>45</v>
      </c>
      <c r="E393" s="227" t="s">
        <v>53</v>
      </c>
      <c r="F393" s="227" t="s">
        <v>46</v>
      </c>
      <c r="G393" s="229">
        <f ca="1">OFFSET(INDIRECT(rtI.Anker3a),3,6)</f>
        <v>0</v>
      </c>
      <c r="H393" s="227" t="str">
        <f t="shared" ca="1" si="30"/>
        <v/>
      </c>
      <c r="I393" s="227" t="str">
        <f t="shared" ca="1" si="34"/>
        <v/>
      </c>
      <c r="J393" s="227" t="str">
        <f t="shared" ca="1" si="31"/>
        <v/>
      </c>
      <c r="K393" s="230" t="str">
        <f t="shared" ca="1" si="32"/>
        <v/>
      </c>
      <c r="L393" s="231" t="str">
        <f t="shared" ca="1" si="33"/>
        <v/>
      </c>
    </row>
    <row r="394" spans="1:12" x14ac:dyDescent="0.25">
      <c r="A394" s="227" t="str">
        <f>TEXT('1 Récapitulation'!$E$10 &amp; "-SHR","@")</f>
        <v>-SHR</v>
      </c>
      <c r="B394" s="228" t="str">
        <f ca="1">TEXT(IF(G394&lt;&gt; 0,OFFSET(INDIRECT(rtI.Anker3a),4,0),""),"@")</f>
        <v/>
      </c>
      <c r="C394" s="227" t="s">
        <v>10</v>
      </c>
      <c r="D394" s="227" t="s">
        <v>45</v>
      </c>
      <c r="E394" s="227" t="s">
        <v>53</v>
      </c>
      <c r="F394" s="227" t="s">
        <v>46</v>
      </c>
      <c r="G394" s="229">
        <f ca="1">OFFSET(INDIRECT(rtI.Anker3a),4,6)</f>
        <v>0</v>
      </c>
      <c r="H394" s="227" t="str">
        <f t="shared" ca="1" si="30"/>
        <v/>
      </c>
      <c r="I394" s="227" t="str">
        <f t="shared" ca="1" si="34"/>
        <v/>
      </c>
      <c r="J394" s="227" t="str">
        <f t="shared" ca="1" si="31"/>
        <v/>
      </c>
      <c r="K394" s="230" t="str">
        <f t="shared" ca="1" si="32"/>
        <v/>
      </c>
      <c r="L394" s="231" t="str">
        <f t="shared" ca="1" si="33"/>
        <v/>
      </c>
    </row>
    <row r="395" spans="1:12" x14ac:dyDescent="0.25">
      <c r="A395" s="227" t="str">
        <f>TEXT('1 Récapitulation'!$E$10 &amp; "-SHR","@")</f>
        <v>-SHR</v>
      </c>
      <c r="B395" s="228" t="str">
        <f ca="1">TEXT(IF(G395&lt;&gt; 0,OFFSET(INDIRECT(rtI.Anker3a),5,0),""),"@")</f>
        <v/>
      </c>
      <c r="C395" s="227" t="s">
        <v>10</v>
      </c>
      <c r="D395" s="227" t="s">
        <v>45</v>
      </c>
      <c r="E395" s="227" t="s">
        <v>53</v>
      </c>
      <c r="F395" s="227" t="s">
        <v>46</v>
      </c>
      <c r="G395" s="229">
        <f ca="1">OFFSET(INDIRECT(rtI.Anker3a),5,6)</f>
        <v>0</v>
      </c>
      <c r="H395" s="227" t="str">
        <f t="shared" ca="1" si="30"/>
        <v/>
      </c>
      <c r="I395" s="227" t="str">
        <f t="shared" ca="1" si="34"/>
        <v/>
      </c>
      <c r="J395" s="227" t="str">
        <f t="shared" ca="1" si="31"/>
        <v/>
      </c>
      <c r="K395" s="230" t="str">
        <f t="shared" ca="1" si="32"/>
        <v/>
      </c>
      <c r="L395" s="231" t="str">
        <f t="shared" ca="1" si="33"/>
        <v/>
      </c>
    </row>
    <row r="396" spans="1:12" x14ac:dyDescent="0.25">
      <c r="A396" s="227" t="str">
        <f>TEXT('1 Récapitulation'!$E$10 &amp; "-SHR","@")</f>
        <v>-SHR</v>
      </c>
      <c r="B396" s="228" t="str">
        <f ca="1">TEXT(IF(G396&lt;&gt; 0,OFFSET(INDIRECT(rtI.Anker3a),6,0),""),"@")</f>
        <v/>
      </c>
      <c r="C396" s="227" t="s">
        <v>10</v>
      </c>
      <c r="D396" s="227" t="s">
        <v>45</v>
      </c>
      <c r="E396" s="227" t="s">
        <v>53</v>
      </c>
      <c r="F396" s="227" t="s">
        <v>46</v>
      </c>
      <c r="G396" s="229">
        <f ca="1">OFFSET(INDIRECT(rtI.Anker3a),6,6)</f>
        <v>0</v>
      </c>
      <c r="H396" s="227" t="str">
        <f t="shared" ca="1" si="30"/>
        <v/>
      </c>
      <c r="I396" s="227" t="str">
        <f t="shared" ca="1" si="34"/>
        <v/>
      </c>
      <c r="J396" s="227" t="str">
        <f t="shared" ca="1" si="31"/>
        <v/>
      </c>
      <c r="K396" s="230" t="str">
        <f t="shared" ca="1" si="32"/>
        <v/>
      </c>
      <c r="L396" s="231" t="str">
        <f t="shared" ca="1" si="33"/>
        <v/>
      </c>
    </row>
    <row r="397" spans="1:12" x14ac:dyDescent="0.25">
      <c r="A397" s="227" t="str">
        <f>TEXT('1 Récapitulation'!$E$10 &amp; "-SHR","@")</f>
        <v>-SHR</v>
      </c>
      <c r="B397" s="228" t="str">
        <f ca="1">TEXT(IF(G397&lt;&gt; 0,OFFSET(INDIRECT(rtI.Anker3a),7,0),""),"@")</f>
        <v/>
      </c>
      <c r="C397" s="227" t="s">
        <v>10</v>
      </c>
      <c r="D397" s="227" t="s">
        <v>45</v>
      </c>
      <c r="E397" s="227" t="s">
        <v>53</v>
      </c>
      <c r="F397" s="227" t="s">
        <v>46</v>
      </c>
      <c r="G397" s="229">
        <f ca="1">OFFSET(INDIRECT(rtI.Anker3a),7,6)</f>
        <v>0</v>
      </c>
      <c r="H397" s="227" t="str">
        <f t="shared" ca="1" si="30"/>
        <v/>
      </c>
      <c r="I397" s="227" t="str">
        <f t="shared" ca="1" si="34"/>
        <v/>
      </c>
      <c r="J397" s="227" t="str">
        <f t="shared" ca="1" si="31"/>
        <v/>
      </c>
      <c r="K397" s="230" t="str">
        <f t="shared" ca="1" si="32"/>
        <v/>
      </c>
      <c r="L397" s="231" t="str">
        <f t="shared" ca="1" si="33"/>
        <v/>
      </c>
    </row>
    <row r="398" spans="1:12" x14ac:dyDescent="0.25">
      <c r="A398" s="227" t="str">
        <f>TEXT('1 Récapitulation'!$E$10 &amp; "-SHR","@")</f>
        <v>-SHR</v>
      </c>
      <c r="B398" s="228" t="str">
        <f ca="1">TEXT(IF(G398&lt;&gt; 0,OFFSET(INDIRECT(rtI.Anker3a),8,0),""),"@")</f>
        <v/>
      </c>
      <c r="C398" s="227" t="s">
        <v>10</v>
      </c>
      <c r="D398" s="227" t="s">
        <v>45</v>
      </c>
      <c r="E398" s="227" t="s">
        <v>53</v>
      </c>
      <c r="F398" s="227" t="s">
        <v>46</v>
      </c>
      <c r="G398" s="229">
        <f ca="1">OFFSET(INDIRECT(rtI.Anker3a),8,6)</f>
        <v>0</v>
      </c>
      <c r="H398" s="227" t="str">
        <f t="shared" ca="1" si="30"/>
        <v/>
      </c>
      <c r="I398" s="227" t="str">
        <f t="shared" ca="1" si="34"/>
        <v/>
      </c>
      <c r="J398" s="227" t="str">
        <f t="shared" ca="1" si="31"/>
        <v/>
      </c>
      <c r="K398" s="230" t="str">
        <f t="shared" ca="1" si="32"/>
        <v/>
      </c>
      <c r="L398" s="231" t="str">
        <f t="shared" ca="1" si="33"/>
        <v/>
      </c>
    </row>
    <row r="399" spans="1:12" x14ac:dyDescent="0.25">
      <c r="A399" s="227" t="str">
        <f>TEXT('1 Récapitulation'!$E$10 &amp; "-SHR","@")</f>
        <v>-SHR</v>
      </c>
      <c r="B399" s="228" t="str">
        <f ca="1">TEXT(IF(G399&lt;&gt; 0,OFFSET(INDIRECT(rtI.Anker3a),9,0),""),"@")</f>
        <v/>
      </c>
      <c r="C399" s="227" t="s">
        <v>10</v>
      </c>
      <c r="D399" s="227" t="s">
        <v>45</v>
      </c>
      <c r="E399" s="227" t="s">
        <v>53</v>
      </c>
      <c r="F399" s="227" t="s">
        <v>46</v>
      </c>
      <c r="G399" s="229">
        <f ca="1">OFFSET(INDIRECT(rtI.Anker3a),9,6)</f>
        <v>0</v>
      </c>
      <c r="H399" s="227" t="str">
        <f t="shared" ca="1" si="30"/>
        <v/>
      </c>
      <c r="I399" s="227" t="str">
        <f t="shared" ca="1" si="34"/>
        <v/>
      </c>
      <c r="J399" s="227" t="str">
        <f t="shared" ca="1" si="31"/>
        <v/>
      </c>
      <c r="K399" s="230" t="str">
        <f t="shared" ca="1" si="32"/>
        <v/>
      </c>
      <c r="L399" s="231" t="str">
        <f t="shared" ca="1" si="33"/>
        <v/>
      </c>
    </row>
    <row r="400" spans="1:12" x14ac:dyDescent="0.25">
      <c r="A400" s="227" t="str">
        <f>TEXT('1 Récapitulation'!$E$10 &amp; "-SHR","@")</f>
        <v>-SHR</v>
      </c>
      <c r="B400" s="228" t="str">
        <f ca="1">TEXT(IF(G400&lt;&gt; 0,OFFSET(INDIRECT(rtI.Anker3a),10,0),""),"@")</f>
        <v/>
      </c>
      <c r="C400" s="227" t="s">
        <v>10</v>
      </c>
      <c r="D400" s="227" t="s">
        <v>45</v>
      </c>
      <c r="E400" s="227" t="s">
        <v>53</v>
      </c>
      <c r="F400" s="227" t="s">
        <v>46</v>
      </c>
      <c r="G400" s="229">
        <f ca="1">OFFSET(INDIRECT(rtI.Anker3a),10,6)</f>
        <v>0</v>
      </c>
      <c r="H400" s="227" t="str">
        <f t="shared" ca="1" si="30"/>
        <v/>
      </c>
      <c r="I400" s="227" t="str">
        <f t="shared" ca="1" si="34"/>
        <v/>
      </c>
      <c r="J400" s="227" t="str">
        <f t="shared" ca="1" si="31"/>
        <v/>
      </c>
      <c r="K400" s="230" t="str">
        <f t="shared" ca="1" si="32"/>
        <v/>
      </c>
      <c r="L400" s="231" t="str">
        <f t="shared" ca="1" si="33"/>
        <v/>
      </c>
    </row>
    <row r="401" spans="1:12" x14ac:dyDescent="0.25">
      <c r="A401" s="227" t="str">
        <f>TEXT('1 Récapitulation'!$E$10 &amp; "-SHR","@")</f>
        <v>-SHR</v>
      </c>
      <c r="B401" s="228" t="str">
        <f ca="1">TEXT(IF(G401&lt;&gt; 0,OFFSET(INDIRECT(rtI.Anker3a),11,0),""),"@")</f>
        <v/>
      </c>
      <c r="C401" s="227" t="s">
        <v>10</v>
      </c>
      <c r="D401" s="227" t="s">
        <v>45</v>
      </c>
      <c r="E401" s="227" t="s">
        <v>53</v>
      </c>
      <c r="F401" s="227" t="s">
        <v>46</v>
      </c>
      <c r="G401" s="229">
        <f ca="1">OFFSET(INDIRECT(rtI.Anker3a),11,6)</f>
        <v>0</v>
      </c>
      <c r="H401" s="227" t="str">
        <f t="shared" ca="1" si="30"/>
        <v/>
      </c>
      <c r="I401" s="227" t="str">
        <f t="shared" ca="1" si="34"/>
        <v/>
      </c>
      <c r="J401" s="227" t="str">
        <f t="shared" ca="1" si="31"/>
        <v/>
      </c>
      <c r="K401" s="230" t="str">
        <f t="shared" ca="1" si="32"/>
        <v/>
      </c>
      <c r="L401" s="231" t="str">
        <f t="shared" ca="1" si="33"/>
        <v/>
      </c>
    </row>
    <row r="402" spans="1:12" x14ac:dyDescent="0.25">
      <c r="A402" s="227" t="str">
        <f>TEXT('1 Récapitulation'!$E$10 &amp; "-SHR","@")</f>
        <v>-SHR</v>
      </c>
      <c r="B402" s="228" t="str">
        <f ca="1">TEXT(IF(G402&lt;&gt; 0,OFFSET(INDIRECT(rtI.Anker3a),12,0),""),"@")</f>
        <v/>
      </c>
      <c r="C402" s="227" t="s">
        <v>10</v>
      </c>
      <c r="D402" s="227" t="s">
        <v>45</v>
      </c>
      <c r="E402" s="227" t="s">
        <v>53</v>
      </c>
      <c r="F402" s="227" t="s">
        <v>46</v>
      </c>
      <c r="G402" s="229">
        <f ca="1">OFFSET(INDIRECT(rtI.Anker3a),12,6)</f>
        <v>0</v>
      </c>
      <c r="H402" s="227" t="str">
        <f t="shared" ca="1" si="30"/>
        <v/>
      </c>
      <c r="I402" s="227" t="str">
        <f t="shared" ca="1" si="34"/>
        <v/>
      </c>
      <c r="J402" s="227" t="str">
        <f t="shared" ca="1" si="31"/>
        <v/>
      </c>
      <c r="K402" s="230" t="str">
        <f t="shared" ca="1" si="32"/>
        <v/>
      </c>
      <c r="L402" s="231" t="str">
        <f t="shared" ca="1" si="33"/>
        <v/>
      </c>
    </row>
    <row r="403" spans="1:12" x14ac:dyDescent="0.25">
      <c r="A403" s="227" t="str">
        <f>TEXT('1 Récapitulation'!$E$10 &amp; "-SHR","@")</f>
        <v>-SHR</v>
      </c>
      <c r="B403" s="228" t="str">
        <f ca="1">TEXT(IF(G403&lt;&gt; 0,OFFSET(INDIRECT(rtI.Anker3a),13,0),""),"@")</f>
        <v/>
      </c>
      <c r="C403" s="227" t="s">
        <v>10</v>
      </c>
      <c r="D403" s="227" t="s">
        <v>45</v>
      </c>
      <c r="E403" s="227" t="s">
        <v>53</v>
      </c>
      <c r="F403" s="227" t="s">
        <v>46</v>
      </c>
      <c r="G403" s="229">
        <f ca="1">OFFSET(INDIRECT(rtI.Anker3a),13,6)</f>
        <v>0</v>
      </c>
      <c r="H403" s="227" t="str">
        <f t="shared" ca="1" si="30"/>
        <v/>
      </c>
      <c r="I403" s="227" t="str">
        <f t="shared" ca="1" si="34"/>
        <v/>
      </c>
      <c r="J403" s="227" t="str">
        <f t="shared" ca="1" si="31"/>
        <v/>
      </c>
      <c r="K403" s="230" t="str">
        <f t="shared" ca="1" si="32"/>
        <v/>
      </c>
      <c r="L403" s="231" t="str">
        <f t="shared" ca="1" si="33"/>
        <v/>
      </c>
    </row>
    <row r="404" spans="1:12" x14ac:dyDescent="0.25">
      <c r="A404" s="227" t="str">
        <f>TEXT('1 Récapitulation'!$E$10 &amp; "-SHR","@")</f>
        <v>-SHR</v>
      </c>
      <c r="B404" s="228" t="str">
        <f ca="1">TEXT(IF(G404&lt;&gt; 0,OFFSET(INDIRECT(rtI.Anker3a),14,0),""),"@")</f>
        <v/>
      </c>
      <c r="C404" s="227" t="s">
        <v>10</v>
      </c>
      <c r="D404" s="227" t="s">
        <v>45</v>
      </c>
      <c r="E404" s="227" t="s">
        <v>53</v>
      </c>
      <c r="F404" s="227" t="s">
        <v>46</v>
      </c>
      <c r="G404" s="229">
        <f ca="1">OFFSET(INDIRECT(rtI.Anker3a),14,6)</f>
        <v>0</v>
      </c>
      <c r="H404" s="227" t="str">
        <f t="shared" ca="1" si="30"/>
        <v/>
      </c>
      <c r="I404" s="227" t="str">
        <f t="shared" ca="1" si="34"/>
        <v/>
      </c>
      <c r="J404" s="227" t="str">
        <f t="shared" ca="1" si="31"/>
        <v/>
      </c>
      <c r="K404" s="230" t="str">
        <f t="shared" ca="1" si="32"/>
        <v/>
      </c>
      <c r="L404" s="231" t="str">
        <f t="shared" ca="1" si="33"/>
        <v/>
      </c>
    </row>
    <row r="405" spans="1:12" x14ac:dyDescent="0.25">
      <c r="A405" s="227" t="str">
        <f>TEXT('1 Récapitulation'!$E$10 &amp; "-SHR","@")</f>
        <v>-SHR</v>
      </c>
      <c r="B405" s="228" t="str">
        <f ca="1">TEXT(IF(G405&lt;&gt; 0,OFFSET(INDIRECT(rtI.Anker3a),15,0),""),"@")</f>
        <v/>
      </c>
      <c r="C405" s="227" t="s">
        <v>10</v>
      </c>
      <c r="D405" s="227" t="s">
        <v>45</v>
      </c>
      <c r="E405" s="227" t="s">
        <v>53</v>
      </c>
      <c r="F405" s="227" t="s">
        <v>46</v>
      </c>
      <c r="G405" s="229">
        <f ca="1">OFFSET(INDIRECT(rtI.Anker3a),15,6)</f>
        <v>0</v>
      </c>
      <c r="H405" s="227" t="str">
        <f t="shared" ca="1" si="30"/>
        <v/>
      </c>
      <c r="I405" s="227" t="str">
        <f t="shared" ca="1" si="34"/>
        <v/>
      </c>
      <c r="J405" s="227" t="str">
        <f t="shared" ca="1" si="31"/>
        <v/>
      </c>
      <c r="K405" s="230" t="str">
        <f t="shared" ca="1" si="32"/>
        <v/>
      </c>
      <c r="L405" s="231" t="str">
        <f t="shared" ca="1" si="33"/>
        <v/>
      </c>
    </row>
    <row r="406" spans="1:12" x14ac:dyDescent="0.25">
      <c r="A406" s="227" t="str">
        <f>TEXT('1 Récapitulation'!$E$10 &amp; "-SHR","@")</f>
        <v>-SHR</v>
      </c>
      <c r="B406" s="228" t="str">
        <f ca="1">TEXT(IF(G406&lt;&gt; 0,OFFSET(INDIRECT(rtI.Anker3a),16,0),""),"@")</f>
        <v/>
      </c>
      <c r="C406" s="227" t="s">
        <v>10</v>
      </c>
      <c r="D406" s="227" t="s">
        <v>45</v>
      </c>
      <c r="E406" s="227" t="s">
        <v>53</v>
      </c>
      <c r="F406" s="227" t="s">
        <v>46</v>
      </c>
      <c r="G406" s="229">
        <f ca="1">OFFSET(INDIRECT(rtI.Anker3a),16,6)</f>
        <v>0</v>
      </c>
      <c r="H406" s="227" t="str">
        <f t="shared" ca="1" si="30"/>
        <v/>
      </c>
      <c r="I406" s="227" t="str">
        <f t="shared" ca="1" si="34"/>
        <v/>
      </c>
      <c r="J406" s="227" t="str">
        <f t="shared" ca="1" si="31"/>
        <v/>
      </c>
      <c r="K406" s="230" t="str">
        <f t="shared" ca="1" si="32"/>
        <v/>
      </c>
      <c r="L406" s="231" t="str">
        <f t="shared" ca="1" si="33"/>
        <v/>
      </c>
    </row>
    <row r="407" spans="1:12" x14ac:dyDescent="0.25">
      <c r="A407" s="227" t="str">
        <f>TEXT('1 Récapitulation'!$E$10 &amp; "-SHR","@")</f>
        <v>-SHR</v>
      </c>
      <c r="B407" s="228" t="str">
        <f ca="1">TEXT(IF(G407&lt;&gt; 0,OFFSET(INDIRECT(rtI.Anker3a),17,0),""),"@")</f>
        <v/>
      </c>
      <c r="C407" s="227" t="s">
        <v>10</v>
      </c>
      <c r="D407" s="227" t="s">
        <v>45</v>
      </c>
      <c r="E407" s="227" t="s">
        <v>53</v>
      </c>
      <c r="F407" s="227" t="s">
        <v>46</v>
      </c>
      <c r="G407" s="229">
        <f ca="1">OFFSET(INDIRECT(rtI.Anker3a),17,6)</f>
        <v>0</v>
      </c>
      <c r="H407" s="227" t="str">
        <f t="shared" ca="1" si="30"/>
        <v/>
      </c>
      <c r="I407" s="227" t="str">
        <f t="shared" ca="1" si="34"/>
        <v/>
      </c>
      <c r="J407" s="227" t="str">
        <f t="shared" ca="1" si="31"/>
        <v/>
      </c>
      <c r="K407" s="230" t="str">
        <f t="shared" ca="1" si="32"/>
        <v/>
      </c>
      <c r="L407" s="231" t="str">
        <f t="shared" ca="1" si="33"/>
        <v/>
      </c>
    </row>
    <row r="408" spans="1:12" x14ac:dyDescent="0.25">
      <c r="A408" s="227" t="str">
        <f>TEXT('1 Récapitulation'!$E$10 &amp; "-SHR","@")</f>
        <v>-SHR</v>
      </c>
      <c r="B408" s="228" t="str">
        <f ca="1">TEXT(IF(G408&lt;&gt; 0,OFFSET(INDIRECT(rtI.Anker3a),18,0),""),"@")</f>
        <v/>
      </c>
      <c r="C408" s="227" t="s">
        <v>10</v>
      </c>
      <c r="D408" s="227" t="s">
        <v>45</v>
      </c>
      <c r="E408" s="227" t="s">
        <v>53</v>
      </c>
      <c r="F408" s="227" t="s">
        <v>46</v>
      </c>
      <c r="G408" s="229">
        <f ca="1">OFFSET(INDIRECT(rtI.Anker3a),18,6)</f>
        <v>0</v>
      </c>
      <c r="H408" s="227" t="str">
        <f t="shared" ca="1" si="30"/>
        <v/>
      </c>
      <c r="I408" s="227" t="str">
        <f t="shared" ca="1" si="34"/>
        <v/>
      </c>
      <c r="J408" s="227" t="str">
        <f t="shared" ca="1" si="31"/>
        <v/>
      </c>
      <c r="K408" s="230" t="str">
        <f t="shared" ca="1" si="32"/>
        <v/>
      </c>
      <c r="L408" s="231" t="str">
        <f t="shared" ca="1" si="33"/>
        <v/>
      </c>
    </row>
    <row r="409" spans="1:12" x14ac:dyDescent="0.25">
      <c r="A409" s="227" t="str">
        <f>TEXT('1 Récapitulation'!$E$10 &amp; "-SHR","@")</f>
        <v>-SHR</v>
      </c>
      <c r="B409" s="228" t="str">
        <f ca="1">TEXT(IF(G409&lt;&gt; 0,OFFSET(INDIRECT(rtI.Anker3a),19,0),""),"@")</f>
        <v/>
      </c>
      <c r="C409" s="227" t="s">
        <v>10</v>
      </c>
      <c r="D409" s="227" t="s">
        <v>45</v>
      </c>
      <c r="E409" s="227" t="s">
        <v>53</v>
      </c>
      <c r="F409" s="227" t="s">
        <v>46</v>
      </c>
      <c r="G409" s="229">
        <f ca="1">OFFSET(INDIRECT(rtI.Anker3a),19,6)</f>
        <v>0</v>
      </c>
      <c r="H409" s="227" t="str">
        <f t="shared" ca="1" si="30"/>
        <v/>
      </c>
      <c r="I409" s="227" t="str">
        <f t="shared" ca="1" si="34"/>
        <v/>
      </c>
      <c r="J409" s="227" t="str">
        <f t="shared" ca="1" si="31"/>
        <v/>
      </c>
      <c r="K409" s="230" t="str">
        <f t="shared" ca="1" si="32"/>
        <v/>
      </c>
      <c r="L409" s="231" t="str">
        <f t="shared" ca="1" si="33"/>
        <v/>
      </c>
    </row>
    <row r="410" spans="1:12" x14ac:dyDescent="0.25">
      <c r="A410" s="227" t="str">
        <f>TEXT('1 Récapitulation'!$E$10 &amp; "-SHR","@")</f>
        <v>-SHR</v>
      </c>
      <c r="B410" s="228" t="str">
        <f ca="1">TEXT(IF(G410&lt;&gt; 0,OFFSET(INDIRECT(rtI.Anker3a),20,0),""),"@")</f>
        <v/>
      </c>
      <c r="C410" s="227" t="s">
        <v>10</v>
      </c>
      <c r="D410" s="227" t="s">
        <v>45</v>
      </c>
      <c r="E410" s="227" t="s">
        <v>53</v>
      </c>
      <c r="F410" s="227" t="s">
        <v>46</v>
      </c>
      <c r="G410" s="229">
        <f ca="1">OFFSET(INDIRECT(rtI.Anker3a),20,6)</f>
        <v>0</v>
      </c>
      <c r="H410" s="227" t="str">
        <f t="shared" ca="1" si="30"/>
        <v/>
      </c>
      <c r="I410" s="227" t="str">
        <f t="shared" ca="1" si="34"/>
        <v/>
      </c>
      <c r="J410" s="227" t="str">
        <f t="shared" ca="1" si="31"/>
        <v/>
      </c>
      <c r="K410" s="230" t="str">
        <f t="shared" ca="1" si="32"/>
        <v/>
      </c>
      <c r="L410" s="231" t="str">
        <f t="shared" ca="1" si="33"/>
        <v/>
      </c>
    </row>
    <row r="411" spans="1:12" x14ac:dyDescent="0.25">
      <c r="A411" s="227" t="str">
        <f>TEXT('1 Récapitulation'!$E$10 &amp; "-SHR","@")</f>
        <v>-SHR</v>
      </c>
      <c r="B411" s="228" t="str">
        <f ca="1">TEXT(IF(G411&lt;&gt; 0,OFFSET(INDIRECT(rtI.Anker3a),21,0),""),"@")</f>
        <v/>
      </c>
      <c r="C411" s="227" t="s">
        <v>10</v>
      </c>
      <c r="D411" s="227" t="s">
        <v>45</v>
      </c>
      <c r="E411" s="227" t="s">
        <v>53</v>
      </c>
      <c r="F411" s="227" t="s">
        <v>46</v>
      </c>
      <c r="G411" s="229">
        <f ca="1">OFFSET(INDIRECT(rtI.Anker3a),21,6)</f>
        <v>0</v>
      </c>
      <c r="H411" s="227" t="str">
        <f t="shared" ca="1" si="30"/>
        <v/>
      </c>
      <c r="I411" s="227" t="str">
        <f t="shared" ca="1" si="34"/>
        <v/>
      </c>
      <c r="J411" s="227" t="str">
        <f t="shared" ca="1" si="31"/>
        <v/>
      </c>
      <c r="K411" s="230" t="str">
        <f t="shared" ca="1" si="32"/>
        <v/>
      </c>
      <c r="L411" s="231" t="str">
        <f t="shared" ca="1" si="33"/>
        <v/>
      </c>
    </row>
    <row r="412" spans="1:12" x14ac:dyDescent="0.25">
      <c r="A412" s="227" t="str">
        <f>TEXT('1 Récapitulation'!$E$10 &amp; "-SHR","@")</f>
        <v>-SHR</v>
      </c>
      <c r="B412" s="228" t="str">
        <f ca="1">TEXT(IF(G412&lt;&gt; 0,OFFSET(INDIRECT(rtI.Anker3a),22,0),""),"@")</f>
        <v/>
      </c>
      <c r="C412" s="227" t="s">
        <v>10</v>
      </c>
      <c r="D412" s="227" t="s">
        <v>45</v>
      </c>
      <c r="E412" s="227" t="s">
        <v>53</v>
      </c>
      <c r="F412" s="227" t="s">
        <v>46</v>
      </c>
      <c r="G412" s="229">
        <f ca="1">OFFSET(INDIRECT(rtI.Anker3a),22,6)</f>
        <v>0</v>
      </c>
      <c r="H412" s="227" t="str">
        <f t="shared" ca="1" si="30"/>
        <v/>
      </c>
      <c r="I412" s="227" t="str">
        <f t="shared" ca="1" si="34"/>
        <v/>
      </c>
      <c r="J412" s="227" t="str">
        <f t="shared" ca="1" si="31"/>
        <v/>
      </c>
      <c r="K412" s="230" t="str">
        <f t="shared" ca="1" si="32"/>
        <v/>
      </c>
      <c r="L412" s="231" t="str">
        <f t="shared" ca="1" si="33"/>
        <v/>
      </c>
    </row>
    <row r="413" spans="1:12" x14ac:dyDescent="0.25">
      <c r="A413" s="227" t="str">
        <f>TEXT('1 Récapitulation'!$E$10 &amp; "-SHR","@")</f>
        <v>-SHR</v>
      </c>
      <c r="B413" s="228" t="str">
        <f ca="1">TEXT(IF(G413&lt;&gt; 0,OFFSET(INDIRECT(rtI.Anker3a),23,0),""),"@")</f>
        <v/>
      </c>
      <c r="C413" s="227" t="s">
        <v>10</v>
      </c>
      <c r="D413" s="227" t="s">
        <v>45</v>
      </c>
      <c r="E413" s="227" t="s">
        <v>53</v>
      </c>
      <c r="F413" s="227" t="s">
        <v>46</v>
      </c>
      <c r="G413" s="229">
        <f ca="1">OFFSET(INDIRECT(rtI.Anker3a),23,6)</f>
        <v>0</v>
      </c>
      <c r="H413" s="227" t="str">
        <f t="shared" ca="1" si="30"/>
        <v/>
      </c>
      <c r="I413" s="227" t="str">
        <f t="shared" ca="1" si="34"/>
        <v/>
      </c>
      <c r="J413" s="227" t="str">
        <f t="shared" ca="1" si="31"/>
        <v/>
      </c>
      <c r="K413" s="230" t="str">
        <f t="shared" ca="1" si="32"/>
        <v/>
      </c>
      <c r="L413" s="231" t="str">
        <f t="shared" ca="1" si="33"/>
        <v/>
      </c>
    </row>
    <row r="414" spans="1:12" x14ac:dyDescent="0.25">
      <c r="A414" s="227" t="str">
        <f>TEXT('1 Récapitulation'!$E$10 &amp; "-SHR","@")</f>
        <v>-SHR</v>
      </c>
      <c r="B414" s="228" t="str">
        <f ca="1">TEXT(IF(G414&lt;&gt; 0,OFFSET(INDIRECT(rtI.Anker3a),24,0),""),"@")</f>
        <v/>
      </c>
      <c r="C414" s="227" t="s">
        <v>10</v>
      </c>
      <c r="D414" s="227" t="s">
        <v>45</v>
      </c>
      <c r="E414" s="227" t="s">
        <v>53</v>
      </c>
      <c r="F414" s="227" t="s">
        <v>46</v>
      </c>
      <c r="G414" s="229">
        <f ca="1">OFFSET(INDIRECT(rtI.Anker3a),24,6)</f>
        <v>0</v>
      </c>
      <c r="H414" s="227" t="str">
        <f t="shared" ca="1" si="30"/>
        <v/>
      </c>
      <c r="I414" s="227" t="str">
        <f t="shared" ca="1" si="34"/>
        <v/>
      </c>
      <c r="J414" s="227" t="str">
        <f t="shared" ca="1" si="31"/>
        <v/>
      </c>
      <c r="K414" s="230" t="str">
        <f t="shared" ca="1" si="32"/>
        <v/>
      </c>
      <c r="L414" s="231" t="str">
        <f t="shared" ca="1" si="33"/>
        <v/>
      </c>
    </row>
    <row r="415" spans="1:12" x14ac:dyDescent="0.25">
      <c r="A415" s="227" t="str">
        <f>TEXT('1 Récapitulation'!$E$10 &amp; "-SHR","@")</f>
        <v>-SHR</v>
      </c>
      <c r="B415" s="228" t="str">
        <f ca="1">TEXT(IF(G415&lt;&gt; 0,OFFSET(INDIRECT(rtI.Anker3a),25,0),""),"@")</f>
        <v/>
      </c>
      <c r="C415" s="227" t="s">
        <v>10</v>
      </c>
      <c r="D415" s="227" t="s">
        <v>45</v>
      </c>
      <c r="E415" s="227" t="s">
        <v>53</v>
      </c>
      <c r="F415" s="227" t="s">
        <v>46</v>
      </c>
      <c r="G415" s="229">
        <f ca="1">OFFSET(INDIRECT(rtI.Anker3a),25,6)</f>
        <v>0</v>
      </c>
      <c r="H415" s="227" t="str">
        <f t="shared" ca="1" si="30"/>
        <v/>
      </c>
      <c r="I415" s="227" t="str">
        <f t="shared" ca="1" si="34"/>
        <v/>
      </c>
      <c r="J415" s="227" t="str">
        <f t="shared" ca="1" si="31"/>
        <v/>
      </c>
      <c r="K415" s="230" t="str">
        <f t="shared" ca="1" si="32"/>
        <v/>
      </c>
      <c r="L415" s="231" t="str">
        <f t="shared" ca="1" si="33"/>
        <v/>
      </c>
    </row>
    <row r="416" spans="1:12" x14ac:dyDescent="0.25">
      <c r="A416" s="227" t="str">
        <f>TEXT('1 Récapitulation'!$E$10 &amp; "-SHR","@")</f>
        <v>-SHR</v>
      </c>
      <c r="B416" s="228" t="str">
        <f ca="1">TEXT(IF(G416&lt;&gt; 0,OFFSET(INDIRECT(rtI.Anker3a),26,0),""),"@")</f>
        <v/>
      </c>
      <c r="C416" s="227" t="s">
        <v>10</v>
      </c>
      <c r="D416" s="227" t="s">
        <v>45</v>
      </c>
      <c r="E416" s="227" t="s">
        <v>53</v>
      </c>
      <c r="F416" s="227" t="s">
        <v>46</v>
      </c>
      <c r="G416" s="229">
        <f ca="1">OFFSET(INDIRECT(rtI.Anker3a),26,6)</f>
        <v>0</v>
      </c>
      <c r="H416" s="227" t="str">
        <f t="shared" ca="1" si="30"/>
        <v/>
      </c>
      <c r="I416" s="227" t="str">
        <f t="shared" ca="1" si="34"/>
        <v/>
      </c>
      <c r="J416" s="227" t="str">
        <f t="shared" ca="1" si="31"/>
        <v/>
      </c>
      <c r="K416" s="230" t="str">
        <f t="shared" ca="1" si="32"/>
        <v/>
      </c>
      <c r="L416" s="231" t="str">
        <f t="shared" ca="1" si="33"/>
        <v/>
      </c>
    </row>
    <row r="417" spans="1:12" x14ac:dyDescent="0.25">
      <c r="A417" s="227" t="str">
        <f>TEXT('1 Récapitulation'!$E$10 &amp; "-SHR","@")</f>
        <v>-SHR</v>
      </c>
      <c r="B417" s="228" t="str">
        <f ca="1">TEXT(IF(G417&lt;&gt; 0,OFFSET(INDIRECT(rtI.Anker3a),27,0),""),"@")</f>
        <v/>
      </c>
      <c r="C417" s="227" t="s">
        <v>10</v>
      </c>
      <c r="D417" s="227" t="s">
        <v>45</v>
      </c>
      <c r="E417" s="227" t="s">
        <v>53</v>
      </c>
      <c r="F417" s="227" t="s">
        <v>46</v>
      </c>
      <c r="G417" s="229">
        <f ca="1">OFFSET(INDIRECT(rtI.Anker3a),27,6)</f>
        <v>0</v>
      </c>
      <c r="H417" s="227" t="str">
        <f t="shared" ca="1" si="30"/>
        <v/>
      </c>
      <c r="I417" s="227" t="str">
        <f t="shared" ca="1" si="34"/>
        <v/>
      </c>
      <c r="J417" s="227" t="str">
        <f t="shared" ca="1" si="31"/>
        <v/>
      </c>
      <c r="K417" s="230" t="str">
        <f t="shared" ca="1" si="32"/>
        <v/>
      </c>
      <c r="L417" s="231" t="str">
        <f t="shared" ca="1" si="33"/>
        <v/>
      </c>
    </row>
    <row r="418" spans="1:12" x14ac:dyDescent="0.25">
      <c r="A418" s="227" t="str">
        <f>TEXT('1 Récapitulation'!$E$10 &amp; "-SHR","@")</f>
        <v>-SHR</v>
      </c>
      <c r="B418" s="228" t="str">
        <f ca="1">TEXT(IF(G418&lt;&gt; 0,OFFSET(INDIRECT(rtI.Anker3a),28,0),""),"@")</f>
        <v/>
      </c>
      <c r="C418" s="227" t="s">
        <v>10</v>
      </c>
      <c r="D418" s="227" t="s">
        <v>45</v>
      </c>
      <c r="E418" s="227" t="s">
        <v>53</v>
      </c>
      <c r="F418" s="227" t="s">
        <v>46</v>
      </c>
      <c r="G418" s="229">
        <f ca="1">OFFSET(INDIRECT(rtI.Anker3a),28,6)</f>
        <v>0</v>
      </c>
      <c r="H418" s="227" t="str">
        <f t="shared" ca="1" si="30"/>
        <v/>
      </c>
      <c r="I418" s="227" t="str">
        <f t="shared" ca="1" si="34"/>
        <v/>
      </c>
      <c r="J418" s="227" t="str">
        <f t="shared" ca="1" si="31"/>
        <v/>
      </c>
      <c r="K418" s="230" t="str">
        <f t="shared" ca="1" si="32"/>
        <v/>
      </c>
      <c r="L418" s="231" t="str">
        <f t="shared" ca="1" si="33"/>
        <v/>
      </c>
    </row>
    <row r="419" spans="1:12" x14ac:dyDescent="0.25">
      <c r="A419" s="227" t="str">
        <f>TEXT('1 Récapitulation'!$E$10 &amp; "-SHR","@")</f>
        <v>-SHR</v>
      </c>
      <c r="B419" s="228" t="str">
        <f ca="1">TEXT(IF(G419&lt;&gt; 0,OFFSET(INDIRECT(rtI.Anker3a),29,0),""),"@")</f>
        <v/>
      </c>
      <c r="C419" s="227" t="s">
        <v>10</v>
      </c>
      <c r="D419" s="227" t="s">
        <v>45</v>
      </c>
      <c r="E419" s="227" t="s">
        <v>53</v>
      </c>
      <c r="F419" s="227" t="s">
        <v>46</v>
      </c>
      <c r="G419" s="229">
        <f ca="1">OFFSET(INDIRECT(rtI.Anker3a),29,6)</f>
        <v>0</v>
      </c>
      <c r="H419" s="227" t="str">
        <f t="shared" ca="1" si="30"/>
        <v/>
      </c>
      <c r="I419" s="227" t="str">
        <f t="shared" ca="1" si="34"/>
        <v/>
      </c>
      <c r="J419" s="227" t="str">
        <f t="shared" ca="1" si="31"/>
        <v/>
      </c>
      <c r="K419" s="230" t="str">
        <f t="shared" ca="1" si="32"/>
        <v/>
      </c>
      <c r="L419" s="231" t="str">
        <f t="shared" ca="1" si="33"/>
        <v/>
      </c>
    </row>
    <row r="420" spans="1:12" x14ac:dyDescent="0.25">
      <c r="A420" s="227" t="str">
        <f>TEXT('1 Récapitulation'!$E$10 &amp; "-SHR","@")</f>
        <v>-SHR</v>
      </c>
      <c r="B420" s="228" t="str">
        <f ca="1">TEXT(IF(G420&lt;&gt; 0,OFFSET(INDIRECT(rtI.Anker3a),30,0),""),"@")</f>
        <v/>
      </c>
      <c r="C420" s="227" t="s">
        <v>10</v>
      </c>
      <c r="D420" s="227" t="s">
        <v>45</v>
      </c>
      <c r="E420" s="227" t="s">
        <v>53</v>
      </c>
      <c r="F420" s="227" t="s">
        <v>46</v>
      </c>
      <c r="G420" s="229">
        <f ca="1">OFFSET(INDIRECT(rtI.Anker3a),30,6)</f>
        <v>0</v>
      </c>
      <c r="H420" s="227" t="str">
        <f t="shared" ca="1" si="30"/>
        <v/>
      </c>
      <c r="I420" s="227" t="str">
        <f t="shared" ca="1" si="34"/>
        <v/>
      </c>
      <c r="J420" s="227" t="str">
        <f t="shared" ca="1" si="31"/>
        <v/>
      </c>
      <c r="K420" s="230" t="str">
        <f t="shared" ca="1" si="32"/>
        <v/>
      </c>
      <c r="L420" s="231" t="str">
        <f t="shared" ca="1" si="33"/>
        <v/>
      </c>
    </row>
    <row r="421" spans="1:12" x14ac:dyDescent="0.25">
      <c r="A421" s="227" t="str">
        <f>TEXT('1 Récapitulation'!$E$10 &amp; "-SHR","@")</f>
        <v>-SHR</v>
      </c>
      <c r="B421" s="228" t="str">
        <f ca="1">TEXT(IF(G421&lt;&gt; 0,OFFSET(INDIRECT(rtI.Anker3a),31,0),""),"@")</f>
        <v/>
      </c>
      <c r="C421" s="227" t="s">
        <v>10</v>
      </c>
      <c r="D421" s="227" t="s">
        <v>45</v>
      </c>
      <c r="E421" s="227" t="s">
        <v>53</v>
      </c>
      <c r="F421" s="227" t="s">
        <v>46</v>
      </c>
      <c r="G421" s="229">
        <f ca="1">OFFSET(INDIRECT(rtI.Anker3a),31,6)</f>
        <v>0</v>
      </c>
      <c r="H421" s="227" t="str">
        <f t="shared" ca="1" si="30"/>
        <v/>
      </c>
      <c r="I421" s="227" t="str">
        <f t="shared" ca="1" si="34"/>
        <v/>
      </c>
      <c r="J421" s="227" t="str">
        <f t="shared" ca="1" si="31"/>
        <v/>
      </c>
      <c r="K421" s="230" t="str">
        <f t="shared" ca="1" si="32"/>
        <v/>
      </c>
      <c r="L421" s="231" t="str">
        <f t="shared" ca="1" si="33"/>
        <v/>
      </c>
    </row>
    <row r="422" spans="1:12" x14ac:dyDescent="0.25">
      <c r="A422" s="227" t="str">
        <f>TEXT('1 Récapitulation'!$E$10 &amp; "-SHR","@")</f>
        <v>-SHR</v>
      </c>
      <c r="B422" s="228" t="str">
        <f ca="1">TEXT(IF(G422&lt;&gt; 0,OFFSET(INDIRECT(rtI.Anker3a),32,0),""),"@")</f>
        <v/>
      </c>
      <c r="C422" s="227" t="s">
        <v>10</v>
      </c>
      <c r="D422" s="227" t="s">
        <v>45</v>
      </c>
      <c r="E422" s="227" t="s">
        <v>53</v>
      </c>
      <c r="F422" s="227" t="s">
        <v>46</v>
      </c>
      <c r="G422" s="229">
        <f ca="1">OFFSET(INDIRECT(rtI.Anker3a),32,6)</f>
        <v>0</v>
      </c>
      <c r="H422" s="227" t="str">
        <f t="shared" ca="1" si="30"/>
        <v/>
      </c>
      <c r="I422" s="227" t="str">
        <f t="shared" ca="1" si="34"/>
        <v/>
      </c>
      <c r="J422" s="227" t="str">
        <f t="shared" ca="1" si="31"/>
        <v/>
      </c>
      <c r="K422" s="230" t="str">
        <f t="shared" ca="1" si="32"/>
        <v/>
      </c>
      <c r="L422" s="231" t="str">
        <f t="shared" ca="1" si="33"/>
        <v/>
      </c>
    </row>
    <row r="423" spans="1:12" x14ac:dyDescent="0.25">
      <c r="A423" s="227" t="str">
        <f>TEXT('1 Récapitulation'!$E$10 &amp; "-SHR","@")</f>
        <v>-SHR</v>
      </c>
      <c r="B423" s="228" t="str">
        <f ca="1">TEXT(IF(G423&lt;&gt; 0,OFFSET(INDIRECT(rtI.Anker3a),33,0),""),"@")</f>
        <v/>
      </c>
      <c r="C423" s="227" t="s">
        <v>10</v>
      </c>
      <c r="D423" s="227" t="s">
        <v>45</v>
      </c>
      <c r="E423" s="227" t="s">
        <v>53</v>
      </c>
      <c r="F423" s="227" t="s">
        <v>46</v>
      </c>
      <c r="G423" s="229">
        <f ca="1">OFFSET(INDIRECT(rtI.Anker3a),33,6)</f>
        <v>0</v>
      </c>
      <c r="H423" s="227" t="str">
        <f t="shared" ca="1" si="30"/>
        <v/>
      </c>
      <c r="I423" s="227" t="str">
        <f t="shared" ca="1" si="34"/>
        <v/>
      </c>
      <c r="J423" s="227" t="str">
        <f t="shared" ca="1" si="31"/>
        <v/>
      </c>
      <c r="K423" s="230" t="str">
        <f t="shared" ca="1" si="32"/>
        <v/>
      </c>
      <c r="L423" s="231" t="str">
        <f t="shared" ca="1" si="33"/>
        <v/>
      </c>
    </row>
    <row r="424" spans="1:12" x14ac:dyDescent="0.25">
      <c r="A424" s="227" t="str">
        <f>TEXT('1 Récapitulation'!$E$10 &amp; "-SHR","@")</f>
        <v>-SHR</v>
      </c>
      <c r="B424" s="228" t="str">
        <f ca="1">TEXT(IF(G424&lt;&gt; 0,OFFSET(INDIRECT(rtI.Anker3a),34,0),""),"@")</f>
        <v/>
      </c>
      <c r="C424" s="227" t="s">
        <v>10</v>
      </c>
      <c r="D424" s="227" t="s">
        <v>45</v>
      </c>
      <c r="E424" s="227" t="s">
        <v>53</v>
      </c>
      <c r="F424" s="227" t="s">
        <v>46</v>
      </c>
      <c r="G424" s="229">
        <f ca="1">OFFSET(INDIRECT(rtI.Anker3a),34,6)</f>
        <v>0</v>
      </c>
      <c r="H424" s="227" t="str">
        <f t="shared" ca="1" si="30"/>
        <v/>
      </c>
      <c r="I424" s="227" t="str">
        <f t="shared" ca="1" si="34"/>
        <v/>
      </c>
      <c r="J424" s="227" t="str">
        <f t="shared" ca="1" si="31"/>
        <v/>
      </c>
      <c r="K424" s="230" t="str">
        <f t="shared" ca="1" si="32"/>
        <v/>
      </c>
      <c r="L424" s="231" t="str">
        <f t="shared" ca="1" si="33"/>
        <v/>
      </c>
    </row>
    <row r="425" spans="1:12" x14ac:dyDescent="0.25">
      <c r="A425" s="227" t="str">
        <f>TEXT('1 Récapitulation'!$E$10 &amp; "-SHR","@")</f>
        <v>-SHR</v>
      </c>
      <c r="B425" s="228" t="str">
        <f ca="1">TEXT(IF(G425&lt;&gt; 0,OFFSET(INDIRECT(rtI.Anker3a),35,0),""),"@")</f>
        <v/>
      </c>
      <c r="C425" s="227" t="s">
        <v>10</v>
      </c>
      <c r="D425" s="227" t="s">
        <v>45</v>
      </c>
      <c r="E425" s="227" t="s">
        <v>53</v>
      </c>
      <c r="F425" s="227" t="s">
        <v>46</v>
      </c>
      <c r="G425" s="229">
        <f ca="1">OFFSET(INDIRECT(rtI.Anker3a),35,6)</f>
        <v>0</v>
      </c>
      <c r="H425" s="227" t="str">
        <f t="shared" ca="1" si="30"/>
        <v/>
      </c>
      <c r="I425" s="227" t="str">
        <f t="shared" ca="1" si="34"/>
        <v/>
      </c>
      <c r="J425" s="227" t="str">
        <f t="shared" ca="1" si="31"/>
        <v/>
      </c>
      <c r="K425" s="230" t="str">
        <f t="shared" ca="1" si="32"/>
        <v/>
      </c>
      <c r="L425" s="231" t="str">
        <f t="shared" ca="1" si="33"/>
        <v/>
      </c>
    </row>
    <row r="426" spans="1:12" x14ac:dyDescent="0.25">
      <c r="A426" s="227" t="str">
        <f>TEXT('1 Récapitulation'!$E$10 &amp; "-SHR","@")</f>
        <v>-SHR</v>
      </c>
      <c r="B426" s="228" t="str">
        <f ca="1">TEXT(IF(G426&lt;&gt; 0,OFFSET(INDIRECT(rtI.Anker3a),36,0),""),"@")</f>
        <v/>
      </c>
      <c r="C426" s="227" t="s">
        <v>10</v>
      </c>
      <c r="D426" s="227" t="s">
        <v>45</v>
      </c>
      <c r="E426" s="227" t="s">
        <v>53</v>
      </c>
      <c r="F426" s="227" t="s">
        <v>46</v>
      </c>
      <c r="G426" s="229">
        <f ca="1">OFFSET(INDIRECT(rtI.Anker3a),36,6)</f>
        <v>0</v>
      </c>
      <c r="H426" s="227" t="str">
        <f t="shared" ca="1" si="30"/>
        <v/>
      </c>
      <c r="I426" s="227" t="str">
        <f t="shared" ca="1" si="34"/>
        <v/>
      </c>
      <c r="J426" s="227" t="str">
        <f t="shared" ca="1" si="31"/>
        <v/>
      </c>
      <c r="K426" s="230" t="str">
        <f t="shared" ca="1" si="32"/>
        <v/>
      </c>
      <c r="L426" s="231" t="str">
        <f t="shared" ca="1" si="33"/>
        <v/>
      </c>
    </row>
    <row r="427" spans="1:12" x14ac:dyDescent="0.25">
      <c r="A427" s="227" t="str">
        <f>TEXT('1 Récapitulation'!$E$10 &amp; "-SHR","@")</f>
        <v>-SHR</v>
      </c>
      <c r="B427" s="228" t="str">
        <f ca="1">TEXT(IF(G427&lt;&gt; 0,OFFSET(INDIRECT(rtI.Anker3a),37,0),""),"@")</f>
        <v/>
      </c>
      <c r="C427" s="227" t="s">
        <v>10</v>
      </c>
      <c r="D427" s="227" t="s">
        <v>45</v>
      </c>
      <c r="E427" s="227" t="s">
        <v>53</v>
      </c>
      <c r="F427" s="227" t="s">
        <v>46</v>
      </c>
      <c r="G427" s="229">
        <f ca="1">OFFSET(INDIRECT(rtI.Anker3a),37,6)</f>
        <v>0</v>
      </c>
      <c r="H427" s="227" t="str">
        <f t="shared" ca="1" si="30"/>
        <v/>
      </c>
      <c r="I427" s="227" t="str">
        <f t="shared" ca="1" si="34"/>
        <v/>
      </c>
      <c r="J427" s="227" t="str">
        <f t="shared" ca="1" si="31"/>
        <v/>
      </c>
      <c r="K427" s="230" t="str">
        <f t="shared" ca="1" si="32"/>
        <v/>
      </c>
      <c r="L427" s="231" t="str">
        <f t="shared" ca="1" si="33"/>
        <v/>
      </c>
    </row>
    <row r="428" spans="1:12" x14ac:dyDescent="0.25">
      <c r="A428" s="227" t="str">
        <f>TEXT('1 Récapitulation'!$E$10 &amp; "-SHR","@")</f>
        <v>-SHR</v>
      </c>
      <c r="B428" s="227" t="str">
        <f>TEXT(IF(G428&lt;&gt; 0,'1 Récapitulation'!$E$10,""),"@")</f>
        <v/>
      </c>
      <c r="C428" s="227" t="s">
        <v>57</v>
      </c>
      <c r="D428" s="227" t="s">
        <v>2</v>
      </c>
      <c r="E428" s="227" t="s">
        <v>58</v>
      </c>
      <c r="F428" s="227" t="s">
        <v>42</v>
      </c>
      <c r="G428" s="229">
        <f>IFERROR('1 Récapitulation'!F21,0)</f>
        <v>0</v>
      </c>
      <c r="H428" s="227" t="str">
        <f t="shared" si="30"/>
        <v/>
      </c>
      <c r="I428" s="227" t="str">
        <f t="shared" si="34"/>
        <v/>
      </c>
      <c r="J428" s="227" t="str">
        <f t="shared" si="31"/>
        <v/>
      </c>
      <c r="K428" s="230" t="str">
        <f t="shared" si="32"/>
        <v/>
      </c>
      <c r="L428" s="231" t="str">
        <f t="shared" si="33"/>
        <v/>
      </c>
    </row>
    <row r="429" spans="1:12" x14ac:dyDescent="0.25">
      <c r="A429" s="227" t="str">
        <f>TEXT('1 Récapitulation'!$E$10 &amp; "-SHR","@")</f>
        <v>-SHR</v>
      </c>
      <c r="B429" s="227" t="str">
        <f>TEXT(IF(G429&lt;&gt; 0,'1 Récapitulation'!$E$10,""),"@")</f>
        <v/>
      </c>
      <c r="C429" s="227" t="s">
        <v>23</v>
      </c>
      <c r="D429" s="227" t="s">
        <v>2</v>
      </c>
      <c r="E429" s="230" t="s">
        <v>59</v>
      </c>
      <c r="F429" s="230" t="s">
        <v>42</v>
      </c>
      <c r="G429" s="229">
        <f>IFERROR('1 Récapitulation'!F22,0)</f>
        <v>0</v>
      </c>
      <c r="H429" s="227" t="str">
        <f t="shared" si="30"/>
        <v/>
      </c>
      <c r="I429" s="227" t="str">
        <f t="shared" si="34"/>
        <v/>
      </c>
      <c r="J429" s="227" t="str">
        <f t="shared" si="31"/>
        <v/>
      </c>
      <c r="K429" s="230" t="str">
        <f t="shared" si="32"/>
        <v/>
      </c>
      <c r="L429" s="231" t="str">
        <f t="shared" si="33"/>
        <v/>
      </c>
    </row>
    <row r="430" spans="1:12" x14ac:dyDescent="0.25">
      <c r="A430" s="227" t="str">
        <f>TEXT('1 Récapitulation'!$E$10 &amp; "-SHR","@")</f>
        <v>-SHR</v>
      </c>
      <c r="B430" s="227" t="str">
        <f>TEXT(IF(G430&lt;&gt; 0,'1 Récapitulation'!$E$10,""),"@")</f>
        <v/>
      </c>
      <c r="C430" s="227" t="s">
        <v>60</v>
      </c>
      <c r="D430" s="227" t="s">
        <v>2</v>
      </c>
      <c r="E430" s="227" t="s">
        <v>61</v>
      </c>
      <c r="F430" s="230" t="s">
        <v>42</v>
      </c>
      <c r="G430" s="229">
        <f>IFERROR('1 Récapitulation'!#REF!,0)</f>
        <v>0</v>
      </c>
      <c r="H430" s="227" t="str">
        <f t="shared" si="30"/>
        <v/>
      </c>
      <c r="I430" s="227" t="str">
        <f t="shared" si="34"/>
        <v/>
      </c>
      <c r="J430" s="227" t="str">
        <f t="shared" si="31"/>
        <v/>
      </c>
      <c r="K430" s="230" t="str">
        <f t="shared" si="32"/>
        <v/>
      </c>
      <c r="L430" s="231" t="str">
        <f t="shared" si="33"/>
        <v/>
      </c>
    </row>
    <row r="431" spans="1:12" x14ac:dyDescent="0.25">
      <c r="A431" s="227" t="str">
        <f>TEXT('1 Récapitulation'!$E$10 &amp; "-SHR","@")</f>
        <v>-SHR</v>
      </c>
      <c r="B431" s="227" t="str">
        <f>TEXT(IF(G431&lt;&gt; 0,'1 Récapitulation'!$E$10,""),"@")</f>
        <v/>
      </c>
      <c r="C431" s="227" t="s">
        <v>21</v>
      </c>
      <c r="D431" s="227" t="s">
        <v>2</v>
      </c>
      <c r="E431" s="227" t="s">
        <v>62</v>
      </c>
      <c r="F431" s="227" t="s">
        <v>42</v>
      </c>
      <c r="G431" s="229">
        <f>IFERROR('1 Récapitulation'!F35,0)</f>
        <v>0</v>
      </c>
      <c r="H431" s="227" t="str">
        <f t="shared" si="30"/>
        <v/>
      </c>
      <c r="I431" s="227" t="str">
        <f t="shared" si="34"/>
        <v/>
      </c>
      <c r="J431" s="227" t="str">
        <f t="shared" si="31"/>
        <v/>
      </c>
      <c r="K431" s="230" t="str">
        <f t="shared" si="32"/>
        <v/>
      </c>
      <c r="L431" s="231" t="str">
        <f t="shared" si="33"/>
        <v/>
      </c>
    </row>
    <row r="432" spans="1:12" x14ac:dyDescent="0.25">
      <c r="A432" s="227" t="str">
        <f>TEXT('1 Récapitulation'!$E$10 &amp; "-SHR","@")</f>
        <v>-SHR</v>
      </c>
      <c r="B432" s="227" t="str">
        <f>TEXT(IF(G432&lt;&gt; 0,'1 Récapitulation'!$E$10,""),"@")</f>
        <v/>
      </c>
      <c r="C432" s="227" t="s">
        <v>11</v>
      </c>
      <c r="D432" s="227" t="s">
        <v>2</v>
      </c>
      <c r="E432" s="227" t="s">
        <v>63</v>
      </c>
      <c r="F432" s="227" t="s">
        <v>42</v>
      </c>
      <c r="G432" s="229">
        <f>IFERROR('1 Récapitulation'!F37,0)</f>
        <v>0</v>
      </c>
      <c r="H432" s="227" t="str">
        <f t="shared" si="30"/>
        <v/>
      </c>
      <c r="I432" s="227" t="str">
        <f t="shared" si="34"/>
        <v/>
      </c>
      <c r="J432" s="227" t="str">
        <f t="shared" si="31"/>
        <v/>
      </c>
      <c r="K432" s="230" t="str">
        <f t="shared" si="32"/>
        <v/>
      </c>
      <c r="L432" s="231" t="str">
        <f t="shared" si="33"/>
        <v/>
      </c>
    </row>
    <row r="433" spans="1:14" x14ac:dyDescent="0.25">
      <c r="A433" s="227" t="str">
        <f>TEXT('1 Récapitulation'!$E$10 &amp; "-SHR","@")</f>
        <v>-SHR</v>
      </c>
      <c r="B433" s="227" t="str">
        <f ca="1">TEXT(IF(G433&lt;&gt; 0,'1 Récapitulation'!$E$10,""),"@")</f>
        <v/>
      </c>
      <c r="C433" s="227" t="s">
        <v>64</v>
      </c>
      <c r="D433" s="227" t="s">
        <v>65</v>
      </c>
      <c r="E433" s="233" t="s">
        <v>66</v>
      </c>
      <c r="F433" s="227" t="s">
        <v>67</v>
      </c>
      <c r="G433" s="229">
        <f ca="1">OFFSET(INDIRECT(rtI.Anker2b),39,11)</f>
        <v>0</v>
      </c>
      <c r="H433" s="227" t="str">
        <f t="shared" ref="H433:H435" ca="1" si="35">IF(G433&lt;&gt;0,IF(F433="1000","Aufwand",IF(OR(F433="1001",F433="1002",F433="1003",F433="1004",F433="1004",F433="1005",F433="1006"),"Ertrag","")),"")</f>
        <v/>
      </c>
      <c r="I433" s="227" t="str">
        <f t="shared" ref="I433:I435" ca="1" si="36">IF(H433&lt;&gt;"","Total","")</f>
        <v/>
      </c>
      <c r="J433" s="227" t="str">
        <f t="shared" ref="J433:J435" ca="1" si="37">IF(H433="Aufwand","Total Aufwand",IF(H433="Ertrag","Total Ertrag",""))</f>
        <v/>
      </c>
      <c r="K433" s="230" t="str">
        <f t="shared" ref="K433:K435" ca="1" si="38">IF(H433&lt;&gt;"","999999999.99","")</f>
        <v/>
      </c>
      <c r="L433" s="231" t="str">
        <f t="shared" ref="L433:L435" ca="1" si="39">IF(H433="Aufwand","900",IF(H433="Ertrag","901",""))</f>
        <v/>
      </c>
    </row>
    <row r="434" spans="1:14" x14ac:dyDescent="0.25">
      <c r="A434" s="227" t="str">
        <f>TEXT('1 Récapitulation'!$E$10 &amp; "-SHR","@")</f>
        <v>-SHR</v>
      </c>
      <c r="B434" s="227" t="str">
        <f>TEXT(IF(G434&lt;&gt; 0,'1 Récapitulation'!$E$10,""),"@")</f>
        <v/>
      </c>
      <c r="C434" s="227" t="s">
        <v>64</v>
      </c>
      <c r="D434" s="227" t="s">
        <v>68</v>
      </c>
      <c r="E434" s="233" t="s">
        <v>66</v>
      </c>
      <c r="F434" s="227" t="s">
        <v>69</v>
      </c>
      <c r="G434" s="229">
        <f>IFERROR('4 Forfaits par cas'!F15,0)</f>
        <v>0</v>
      </c>
      <c r="H434" s="227" t="str">
        <f t="shared" si="35"/>
        <v/>
      </c>
      <c r="I434" s="227" t="str">
        <f t="shared" si="36"/>
        <v/>
      </c>
      <c r="J434" s="227" t="str">
        <f t="shared" si="37"/>
        <v/>
      </c>
      <c r="K434" s="230" t="str">
        <f t="shared" si="38"/>
        <v/>
      </c>
      <c r="L434" s="231" t="str">
        <f t="shared" si="39"/>
        <v/>
      </c>
    </row>
    <row r="435" spans="1:14" x14ac:dyDescent="0.25">
      <c r="A435" s="227" t="str">
        <f>TEXT('1 Récapitulation'!$E$10 &amp; "-SHR","@")</f>
        <v>-SHR</v>
      </c>
      <c r="B435" s="227" t="str">
        <f>TEXT(IF(G435&lt;&gt; 0,'1 Récapitulation'!$E$10,""),"@")</f>
        <v/>
      </c>
      <c r="C435" s="227" t="s">
        <v>64</v>
      </c>
      <c r="D435" s="227" t="s">
        <v>70</v>
      </c>
      <c r="E435" s="233" t="s">
        <v>66</v>
      </c>
      <c r="F435" s="227" t="s">
        <v>71</v>
      </c>
      <c r="G435" s="229">
        <f>IFERROR('4 Forfaits par cas'!F16,0)</f>
        <v>0</v>
      </c>
      <c r="H435" s="227" t="str">
        <f t="shared" si="35"/>
        <v/>
      </c>
      <c r="I435" s="227" t="str">
        <f t="shared" si="36"/>
        <v/>
      </c>
      <c r="J435" s="227" t="str">
        <f t="shared" si="37"/>
        <v/>
      </c>
      <c r="K435" s="230" t="str">
        <f t="shared" si="38"/>
        <v/>
      </c>
      <c r="L435" s="231" t="str">
        <f t="shared" si="39"/>
        <v/>
      </c>
    </row>
    <row r="436" spans="1:14" x14ac:dyDescent="0.25">
      <c r="A436" s="227" t="str">
        <f>TEXT('1 Récapitulation'!$E$10 &amp; "-SHR","@")</f>
        <v>-SHR</v>
      </c>
      <c r="B436" s="227" t="str">
        <f>TEXT(IF(G436&lt;&gt; 0,'1 Récapitulation'!$E$10,""),"@")</f>
        <v/>
      </c>
      <c r="C436" s="227" t="s">
        <v>72</v>
      </c>
      <c r="D436" s="227" t="s">
        <v>73</v>
      </c>
      <c r="E436" s="233" t="s">
        <v>74</v>
      </c>
      <c r="F436" s="227" t="s">
        <v>75</v>
      </c>
      <c r="G436" s="229">
        <f>IFERROR('4 Forfaits par cas'!F17,0)</f>
        <v>0</v>
      </c>
      <c r="H436" s="227" t="str">
        <f>IF(G436&lt;&gt;0,IF(F436="1000","Aufwand",IF(OR(F436="1001",F436="1002",F436="1003",F436="1004",F436="1004",F436="1005",F436="1006"),"Ertrag","")),"")</f>
        <v/>
      </c>
      <c r="I436" s="227" t="str">
        <f>IF(H436&lt;&gt;"","Total","")</f>
        <v/>
      </c>
      <c r="J436" s="227" t="str">
        <f>IF(H436="Aufwand","Total Aufwand",IF(H436="Ertrag","Total Ertrag",""))</f>
        <v/>
      </c>
      <c r="K436" s="230" t="str">
        <f>IF(H436&lt;&gt;"","999999999.99","")</f>
        <v/>
      </c>
      <c r="L436" s="231" t="str">
        <f>IF(H436="Aufwand","900",IF(H436="Ertrag","901",""))</f>
        <v/>
      </c>
    </row>
    <row r="437" spans="1:14" x14ac:dyDescent="0.25">
      <c r="A437" s="227" t="str">
        <f>TEXT('1 Récapitulation'!$E$10 &amp; "-SHR","@")</f>
        <v>-SHR</v>
      </c>
      <c r="B437" s="227" t="str">
        <f>TEXT(IF(G437&lt;&gt; 0,'1 Récapitulation'!$E$10,""),"@")</f>
        <v/>
      </c>
      <c r="C437" s="227" t="s">
        <v>64</v>
      </c>
      <c r="D437" s="227" t="s">
        <v>20</v>
      </c>
      <c r="E437" s="233" t="s">
        <v>66</v>
      </c>
      <c r="F437" s="227" t="s">
        <v>76</v>
      </c>
      <c r="G437" s="229">
        <f>IFERROR('4 Forfaits par cas'!F18,0)</f>
        <v>0</v>
      </c>
      <c r="H437" s="227" t="str">
        <f t="shared" ref="H437" si="40">IF(G437&lt;&gt;0,IF(F437="1000","Aufwand",IF(OR(F437="1001",F437="1002",F437="1003",F437="1004",F437="1004",F437="1005",F437="1006"),"Ertrag","")),"")</f>
        <v/>
      </c>
      <c r="I437" s="227" t="str">
        <f t="shared" ref="I437" si="41">IF(H437&lt;&gt;"","Total","")</f>
        <v/>
      </c>
      <c r="J437" s="227" t="str">
        <f t="shared" ref="J437" si="42">IF(H437="Aufwand","Total Aufwand",IF(H437="Ertrag","Total Ertrag",""))</f>
        <v/>
      </c>
      <c r="K437" s="230" t="str">
        <f t="shared" ref="K437" si="43">IF(H437&lt;&gt;"","999999999.99","")</f>
        <v/>
      </c>
      <c r="L437" s="231" t="str">
        <f t="shared" ref="L437" si="44">IF(H437="Aufwand","900",IF(H437="Ertrag","901",""))</f>
        <v/>
      </c>
    </row>
    <row r="438" spans="1:14" x14ac:dyDescent="0.25">
      <c r="A438" s="227" t="str">
        <f>TEXT('1 Récapitulation'!$E$10 &amp; "-SHR","@")</f>
        <v>-SHR</v>
      </c>
      <c r="B438" s="227" t="str">
        <f>TEXT(IF(G438&lt;&gt; 0,'1 Récapitulation'!$E$10,""),"@")</f>
        <v/>
      </c>
      <c r="C438" s="227" t="s">
        <v>6</v>
      </c>
      <c r="D438" s="227" t="s">
        <v>77</v>
      </c>
      <c r="E438" s="233" t="s">
        <v>78</v>
      </c>
      <c r="F438" s="227" t="s">
        <v>79</v>
      </c>
      <c r="G438" s="229">
        <f>IFERROR('4 Forfaits par cas'!F21,0)</f>
        <v>0</v>
      </c>
      <c r="H438" s="227" t="str">
        <f t="shared" si="30"/>
        <v/>
      </c>
      <c r="I438" s="227" t="str">
        <f t="shared" si="34"/>
        <v/>
      </c>
      <c r="J438" s="227" t="str">
        <f t="shared" si="31"/>
        <v/>
      </c>
      <c r="K438" s="230" t="str">
        <f t="shared" si="32"/>
        <v/>
      </c>
      <c r="L438" s="231" t="str">
        <f t="shared" si="33"/>
        <v/>
      </c>
    </row>
    <row r="439" spans="1:14" x14ac:dyDescent="0.25">
      <c r="A439" s="227" t="str">
        <f>TEXT('1 Récapitulation'!$E$10 &amp; "-SHR","@")</f>
        <v>-SHR</v>
      </c>
      <c r="B439" s="227" t="str">
        <f>TEXT(IF(G439&lt;&gt; 0,'1 Récapitulation'!$E$10,""),"@")</f>
        <v/>
      </c>
      <c r="C439" s="227" t="s">
        <v>6</v>
      </c>
      <c r="D439" s="227" t="s">
        <v>80</v>
      </c>
      <c r="E439" s="233" t="s">
        <v>78</v>
      </c>
      <c r="F439" s="227" t="s">
        <v>81</v>
      </c>
      <c r="G439" s="229">
        <f>IFERROR('4 Forfaits par cas'!F22,0)</f>
        <v>0</v>
      </c>
      <c r="H439" s="227" t="str">
        <f t="shared" si="30"/>
        <v/>
      </c>
      <c r="I439" s="227" t="str">
        <f t="shared" si="34"/>
        <v/>
      </c>
      <c r="J439" s="227" t="str">
        <f t="shared" si="31"/>
        <v/>
      </c>
      <c r="K439" s="230" t="str">
        <f t="shared" si="32"/>
        <v/>
      </c>
      <c r="L439" s="231" t="str">
        <f t="shared" si="33"/>
        <v/>
      </c>
    </row>
    <row r="440" spans="1:14" x14ac:dyDescent="0.25">
      <c r="A440" s="227" t="str">
        <f>TEXT('1 Récapitulation'!$E$10 &amp; "-SHR","@")</f>
        <v>-SHR</v>
      </c>
      <c r="B440" s="227" t="str">
        <f>TEXT(IF(G440&lt;&gt; 0,'1 Récapitulation'!$E$10,""),"@")</f>
        <v/>
      </c>
      <c r="C440" s="227" t="s">
        <v>6</v>
      </c>
      <c r="D440" s="227" t="s">
        <v>19</v>
      </c>
      <c r="E440" s="233" t="s">
        <v>78</v>
      </c>
      <c r="F440" s="227" t="s">
        <v>82</v>
      </c>
      <c r="G440" s="229">
        <f>IFERROR('4 Forfaits par cas'!F23,0)</f>
        <v>0</v>
      </c>
      <c r="H440" s="227" t="str">
        <f t="shared" si="30"/>
        <v/>
      </c>
      <c r="I440" s="227" t="str">
        <f t="shared" si="34"/>
        <v/>
      </c>
      <c r="J440" s="227" t="str">
        <f t="shared" si="31"/>
        <v/>
      </c>
      <c r="K440" s="230" t="str">
        <f t="shared" si="32"/>
        <v/>
      </c>
      <c r="L440" s="231" t="str">
        <f t="shared" si="33"/>
        <v/>
      </c>
    </row>
    <row r="441" spans="1:14" x14ac:dyDescent="0.25">
      <c r="A441" s="227" t="str">
        <f>TEXT('1 Récapitulation'!$E$10 &amp; "-SHR","@")</f>
        <v>-SHR</v>
      </c>
      <c r="B441" s="227" t="str">
        <f>TEXT(IF(G441&lt;&gt; 0,'1 Récapitulation'!$E$10,""),"@")</f>
        <v/>
      </c>
      <c r="C441" s="227" t="s">
        <v>6</v>
      </c>
      <c r="D441" s="227" t="s">
        <v>83</v>
      </c>
      <c r="E441" s="233" t="s">
        <v>78</v>
      </c>
      <c r="F441" s="227" t="s">
        <v>84</v>
      </c>
      <c r="G441" s="229">
        <f>IFERROR('4 Forfaits par cas'!F24,0)</f>
        <v>0</v>
      </c>
      <c r="H441" s="227" t="str">
        <f t="shared" si="30"/>
        <v/>
      </c>
      <c r="I441" s="227" t="str">
        <f t="shared" si="34"/>
        <v/>
      </c>
      <c r="J441" s="227" t="str">
        <f t="shared" si="31"/>
        <v/>
      </c>
      <c r="K441" s="230" t="str">
        <f t="shared" si="32"/>
        <v/>
      </c>
      <c r="L441" s="231" t="str">
        <f t="shared" si="33"/>
        <v/>
      </c>
    </row>
    <row r="442" spans="1:14" x14ac:dyDescent="0.25">
      <c r="A442" s="227" t="str">
        <f>TEXT('1 Récapitulation'!$E$10 &amp; "-SHR","@")</f>
        <v>-SHR</v>
      </c>
      <c r="B442" s="227" t="str">
        <f>TEXT(IF(G442&lt;&gt; 0,'1 Récapitulation'!$E$10,""),"@")</f>
        <v/>
      </c>
      <c r="C442" s="227" t="s">
        <v>6</v>
      </c>
      <c r="D442" s="227" t="s">
        <v>85</v>
      </c>
      <c r="E442" s="233" t="s">
        <v>78</v>
      </c>
      <c r="F442" s="227" t="s">
        <v>86</v>
      </c>
      <c r="G442" s="229">
        <f>IFERROR('4 Forfaits par cas'!F25,0)</f>
        <v>0</v>
      </c>
      <c r="H442" s="227" t="str">
        <f t="shared" si="30"/>
        <v/>
      </c>
      <c r="I442" s="227" t="str">
        <f t="shared" si="34"/>
        <v/>
      </c>
      <c r="J442" s="227" t="str">
        <f t="shared" si="31"/>
        <v/>
      </c>
      <c r="K442" s="230" t="str">
        <f t="shared" si="32"/>
        <v/>
      </c>
      <c r="L442" s="231" t="str">
        <f t="shared" si="33"/>
        <v/>
      </c>
    </row>
    <row r="443" spans="1:14" x14ac:dyDescent="0.25">
      <c r="A443" s="227" t="str">
        <f>TEXT('1 Récapitulation'!$E$10 &amp; "-SHR","@")</f>
        <v>-SHR</v>
      </c>
      <c r="B443" s="227" t="str">
        <f>TEXT(IF(G443&lt;&gt; 0,'1 Récapitulation'!$E$10,""),"@")</f>
        <v>0</v>
      </c>
      <c r="C443" s="227" t="s">
        <v>6</v>
      </c>
      <c r="D443" s="227" t="s">
        <v>87</v>
      </c>
      <c r="E443" s="233" t="s">
        <v>78</v>
      </c>
      <c r="F443" s="227" t="s">
        <v>88</v>
      </c>
      <c r="G443" s="229">
        <f>IFERROR('4 Forfaits par cas'!F26,0)</f>
        <v>2450</v>
      </c>
      <c r="H443" s="227" t="str">
        <f t="shared" si="30"/>
        <v/>
      </c>
      <c r="I443" s="227" t="str">
        <f t="shared" si="34"/>
        <v/>
      </c>
      <c r="J443" s="227" t="str">
        <f t="shared" si="31"/>
        <v/>
      </c>
      <c r="K443" s="230" t="str">
        <f t="shared" si="32"/>
        <v/>
      </c>
      <c r="L443" s="231" t="str">
        <f t="shared" si="33"/>
        <v/>
      </c>
    </row>
    <row r="444" spans="1:14" x14ac:dyDescent="0.25">
      <c r="A444" s="227" t="str">
        <f>TEXT('1 Récapitulation'!$E$10 &amp; "-SHR","@")</f>
        <v>-SHR</v>
      </c>
      <c r="B444" s="227" t="str">
        <f>TEXT(IF(G444&lt;&gt; 0,'1 Récapitulation'!$E$10,""),"@")</f>
        <v/>
      </c>
      <c r="C444" s="227" t="s">
        <v>6</v>
      </c>
      <c r="D444" s="227" t="s">
        <v>89</v>
      </c>
      <c r="E444" s="233" t="s">
        <v>78</v>
      </c>
      <c r="F444" s="227" t="s">
        <v>75</v>
      </c>
      <c r="G444" s="229">
        <f>IFERROR('4 Forfaits par cas'!F27,0)</f>
        <v>0</v>
      </c>
      <c r="H444" s="227" t="str">
        <f t="shared" si="30"/>
        <v/>
      </c>
      <c r="I444" s="227" t="str">
        <f t="shared" si="34"/>
        <v/>
      </c>
      <c r="J444" s="227" t="str">
        <f t="shared" si="31"/>
        <v/>
      </c>
      <c r="K444" s="230" t="str">
        <f t="shared" si="32"/>
        <v/>
      </c>
      <c r="L444" s="231" t="str">
        <f t="shared" si="33"/>
        <v/>
      </c>
    </row>
    <row r="445" spans="1:14" x14ac:dyDescent="0.25">
      <c r="A445" s="227" t="str">
        <f>TEXT('1 Récapitulation'!$E$10 &amp; "-SHR","@")</f>
        <v>-SHR</v>
      </c>
      <c r="B445" s="227" t="str">
        <f>TEXT(IF(G445&lt;&gt; 0,'1 Récapitulation'!$E$10,""),"@")</f>
        <v/>
      </c>
      <c r="C445" s="227" t="s">
        <v>433</v>
      </c>
      <c r="D445" s="227" t="s">
        <v>434</v>
      </c>
      <c r="E445" s="233" t="s">
        <v>435</v>
      </c>
      <c r="F445" s="2" t="s">
        <v>436</v>
      </c>
      <c r="G445" s="229">
        <f>IFERROR('4 Forfaits par cas'!F32,0)</f>
        <v>0</v>
      </c>
      <c r="H445" s="227" t="str">
        <f t="shared" ref="H445:H448" si="45">IF(G445&lt;&gt;0,IF(F445="1000","Aufwand",IF(OR(F445="1001",F445="1002",F445="1003",F445="1004",F445="1004",F445="1005",F445="1006"),"Ertrag","")),"")</f>
        <v/>
      </c>
      <c r="I445" s="227" t="str">
        <f t="shared" ref="I445:I448" si="46">IF(H445&lt;&gt;"","Total","")</f>
        <v/>
      </c>
      <c r="J445" s="227" t="str">
        <f t="shared" ref="J445:J448" si="47">IF(H445="Aufwand","Total Aufwand",IF(H445="Ertrag","Total Ertrag",""))</f>
        <v/>
      </c>
      <c r="K445" s="230" t="str">
        <f t="shared" ref="K445:K448" si="48">IF(H445&lt;&gt;"","999999999.99","")</f>
        <v/>
      </c>
      <c r="L445" s="231" t="str">
        <f t="shared" ref="L445:L448" si="49">IF(H445="Aufwand","900",IF(H445="Ertrag","901",""))</f>
        <v/>
      </c>
      <c r="N445" s="395" t="s">
        <v>439</v>
      </c>
    </row>
    <row r="446" spans="1:14" x14ac:dyDescent="0.25">
      <c r="A446" s="227" t="str">
        <f>TEXT('1 Récapitulation'!$E$10 &amp; "-SHR","@")</f>
        <v>-SHR</v>
      </c>
      <c r="B446" s="227" t="str">
        <f>TEXT(IF(G446&lt;&gt; 0,'1 Récapitulation'!$E$10,""),"@")</f>
        <v/>
      </c>
      <c r="C446" s="227" t="s">
        <v>433</v>
      </c>
      <c r="D446" s="227" t="s">
        <v>437</v>
      </c>
      <c r="E446" s="233" t="s">
        <v>435</v>
      </c>
      <c r="F446" s="2" t="s">
        <v>86</v>
      </c>
      <c r="G446" s="229">
        <f>IFERROR('4 Forfaits par cas'!F33,0)</f>
        <v>0</v>
      </c>
      <c r="H446" s="227" t="str">
        <f t="shared" si="45"/>
        <v/>
      </c>
      <c r="I446" s="227" t="str">
        <f t="shared" si="46"/>
        <v/>
      </c>
      <c r="J446" s="227" t="str">
        <f t="shared" si="47"/>
        <v/>
      </c>
      <c r="K446" s="230" t="str">
        <f t="shared" si="48"/>
        <v/>
      </c>
      <c r="L446" s="231" t="str">
        <f t="shared" si="49"/>
        <v/>
      </c>
      <c r="N446" s="395" t="s">
        <v>439</v>
      </c>
    </row>
    <row r="447" spans="1:14" x14ac:dyDescent="0.25">
      <c r="A447" s="227" t="str">
        <f>TEXT('1 Récapitulation'!$E$10 &amp; "-SHR","@")</f>
        <v>-SHR</v>
      </c>
      <c r="B447" s="227" t="str">
        <f>TEXT(IF(G447&lt;&gt; 0,'1 Récapitulation'!$E$10,""),"@")</f>
        <v>0</v>
      </c>
      <c r="C447" s="227" t="s">
        <v>433</v>
      </c>
      <c r="D447" s="227" t="s">
        <v>438</v>
      </c>
      <c r="E447" s="233" t="s">
        <v>435</v>
      </c>
      <c r="F447" s="227" t="s">
        <v>88</v>
      </c>
      <c r="G447" s="229">
        <f>IFERROR('4 Forfaits par cas'!F34,0)</f>
        <v>2450</v>
      </c>
      <c r="H447" s="227" t="str">
        <f t="shared" si="45"/>
        <v/>
      </c>
      <c r="I447" s="227" t="str">
        <f t="shared" si="46"/>
        <v/>
      </c>
      <c r="J447" s="227" t="str">
        <f t="shared" si="47"/>
        <v/>
      </c>
      <c r="K447" s="230" t="str">
        <f t="shared" si="48"/>
        <v/>
      </c>
      <c r="L447" s="231" t="str">
        <f t="shared" si="49"/>
        <v/>
      </c>
      <c r="N447" s="395" t="s">
        <v>439</v>
      </c>
    </row>
    <row r="448" spans="1:14" x14ac:dyDescent="0.25">
      <c r="A448" s="227" t="str">
        <f>TEXT('1 Récapitulation'!$E$10 &amp; "-SHR","@")</f>
        <v>-SHR</v>
      </c>
      <c r="B448" s="227" t="str">
        <f>TEXT(IF(G448&lt;&gt; 0,'1 Récapitulation'!$E$10,""),"@")</f>
        <v/>
      </c>
      <c r="C448" s="227" t="s">
        <v>433</v>
      </c>
      <c r="D448" s="227" t="s">
        <v>438</v>
      </c>
      <c r="E448" s="233" t="s">
        <v>435</v>
      </c>
      <c r="F448" s="227" t="s">
        <v>75</v>
      </c>
      <c r="G448" s="229">
        <f>IFERROR('4 Forfaits par cas'!F35,0)</f>
        <v>0</v>
      </c>
      <c r="H448" s="227" t="str">
        <f t="shared" si="45"/>
        <v/>
      </c>
      <c r="I448" s="227" t="str">
        <f t="shared" si="46"/>
        <v/>
      </c>
      <c r="J448" s="227" t="str">
        <f t="shared" si="47"/>
        <v/>
      </c>
      <c r="K448" s="230" t="str">
        <f t="shared" si="48"/>
        <v/>
      </c>
      <c r="L448" s="231" t="str">
        <f t="shared" si="49"/>
        <v/>
      </c>
      <c r="N448" s="395" t="s">
        <v>439</v>
      </c>
    </row>
    <row r="449" spans="1:14" x14ac:dyDescent="0.25">
      <c r="A449" s="227" t="str">
        <f>TEXT('1 Récapitulation'!$E$10 &amp; "-SHR","@")</f>
        <v>-SHR</v>
      </c>
      <c r="B449" s="227" t="str">
        <f>TEXT(IF(G449&lt;&gt; 0,'1 Récapitulation'!$E$10,""),"@")</f>
        <v/>
      </c>
      <c r="C449" s="227" t="s">
        <v>90</v>
      </c>
      <c r="D449" s="227" t="s">
        <v>91</v>
      </c>
      <c r="E449" s="233" t="s">
        <v>92</v>
      </c>
      <c r="F449" s="227" t="s">
        <v>93</v>
      </c>
      <c r="G449" s="229">
        <f>IFERROR('4 Forfaits par cas'!F41,0)</f>
        <v>0</v>
      </c>
      <c r="H449" s="227" t="str">
        <f t="shared" si="30"/>
        <v/>
      </c>
      <c r="I449" s="227" t="str">
        <f t="shared" si="34"/>
        <v/>
      </c>
      <c r="J449" s="227" t="str">
        <f t="shared" si="31"/>
        <v/>
      </c>
      <c r="K449" s="230" t="str">
        <f t="shared" si="32"/>
        <v/>
      </c>
      <c r="L449" s="231" t="str">
        <f t="shared" si="33"/>
        <v/>
      </c>
    </row>
    <row r="450" spans="1:14" x14ac:dyDescent="0.25">
      <c r="A450" s="227" t="str">
        <f>TEXT('1 Récapitulation'!$E$10 &amp; "-SHR","@")</f>
        <v>-SHR</v>
      </c>
      <c r="B450" s="227" t="str">
        <f>TEXT(IF(G450&lt;&gt; 0,'1 Récapitulation'!$E$10,""),"@")</f>
        <v/>
      </c>
      <c r="C450" s="227" t="s">
        <v>90</v>
      </c>
      <c r="D450" s="227" t="s">
        <v>94</v>
      </c>
      <c r="E450" s="233" t="s">
        <v>92</v>
      </c>
      <c r="F450" s="227" t="s">
        <v>95</v>
      </c>
      <c r="G450" s="229">
        <f>IFERROR('4 Forfaits par cas'!F42,0)</f>
        <v>0</v>
      </c>
      <c r="H450" s="227" t="str">
        <f t="shared" si="30"/>
        <v/>
      </c>
      <c r="I450" s="227" t="str">
        <f t="shared" si="34"/>
        <v/>
      </c>
      <c r="J450" s="227" t="str">
        <f t="shared" si="31"/>
        <v/>
      </c>
      <c r="K450" s="230" t="str">
        <f t="shared" si="32"/>
        <v/>
      </c>
      <c r="L450" s="231" t="str">
        <f t="shared" si="33"/>
        <v/>
      </c>
    </row>
    <row r="451" spans="1:14" x14ac:dyDescent="0.25">
      <c r="A451" s="227" t="str">
        <f>TEXT('1 Récapitulation'!$E$10 &amp; "-SHR","@")</f>
        <v>-SHR</v>
      </c>
      <c r="B451" s="227" t="str">
        <f>TEXT(IF(G451&lt;&gt; 0,'1 Récapitulation'!$E$10,""),"@")</f>
        <v/>
      </c>
      <c r="C451" s="227" t="s">
        <v>90</v>
      </c>
      <c r="D451" s="227" t="s">
        <v>96</v>
      </c>
      <c r="E451" s="233" t="s">
        <v>92</v>
      </c>
      <c r="F451" s="227" t="s">
        <v>86</v>
      </c>
      <c r="G451" s="229">
        <f>IFERROR('4 Forfaits par cas'!F43,0)</f>
        <v>0</v>
      </c>
      <c r="H451" s="227" t="str">
        <f t="shared" ref="H451:H471" si="50">IF(G451&lt;&gt;0,IF(F451="1000","Aufwand",IF(OR(F451="1001",F451="1002",F451="1003",F451="1004",F451="1004",F451="1005",F451="1006"),"Ertrag","")),"")</f>
        <v/>
      </c>
      <c r="I451" s="227" t="str">
        <f t="shared" si="34"/>
        <v/>
      </c>
      <c r="J451" s="227" t="str">
        <f t="shared" ref="J451:J471" si="51">IF(H451="Aufwand","Total Aufwand",IF(H451="Ertrag","Total Ertrag",""))</f>
        <v/>
      </c>
      <c r="K451" s="230" t="str">
        <f t="shared" ref="K451:K471" si="52">IF(H451&lt;&gt;"","999999999.99","")</f>
        <v/>
      </c>
      <c r="L451" s="231" t="str">
        <f t="shared" ref="L451:L471" si="53">IF(H451="Aufwand","900",IF(H451="Ertrag","901",""))</f>
        <v/>
      </c>
    </row>
    <row r="452" spans="1:14" x14ac:dyDescent="0.25">
      <c r="A452" s="227" t="str">
        <f>TEXT('1 Récapitulation'!$E$10 &amp; "-SHR","@")</f>
        <v>-SHR</v>
      </c>
      <c r="B452" s="227" t="str">
        <f>TEXT(IF(G452&lt;&gt; 0,'1 Récapitulation'!$E$10,""),"@")</f>
        <v>0</v>
      </c>
      <c r="C452" s="227" t="s">
        <v>90</v>
      </c>
      <c r="D452" s="227" t="s">
        <v>97</v>
      </c>
      <c r="E452" s="233" t="s">
        <v>92</v>
      </c>
      <c r="F452" s="227" t="s">
        <v>88</v>
      </c>
      <c r="G452" s="229">
        <f>IFERROR('4 Forfaits par cas'!F44,0)</f>
        <v>1225</v>
      </c>
      <c r="H452" s="227" t="str">
        <f t="shared" si="50"/>
        <v/>
      </c>
      <c r="I452" s="227" t="str">
        <f t="shared" ref="I452:I471" si="54">IF(H452&lt;&gt;"","Total","")</f>
        <v/>
      </c>
      <c r="J452" s="227" t="str">
        <f t="shared" si="51"/>
        <v/>
      </c>
      <c r="K452" s="230" t="str">
        <f t="shared" si="52"/>
        <v/>
      </c>
      <c r="L452" s="231" t="str">
        <f t="shared" si="53"/>
        <v/>
      </c>
    </row>
    <row r="453" spans="1:14" x14ac:dyDescent="0.25">
      <c r="A453" s="227" t="str">
        <f>TEXT('1 Récapitulation'!$E$10 &amp; "-SHR","@")</f>
        <v>-SHR</v>
      </c>
      <c r="B453" s="227" t="str">
        <f>TEXT(IF(G453&lt;&gt; 0,'1 Récapitulation'!$E$10,""),"@")</f>
        <v/>
      </c>
      <c r="C453" s="227" t="s">
        <v>90</v>
      </c>
      <c r="D453" s="227" t="s">
        <v>98</v>
      </c>
      <c r="E453" s="233" t="s">
        <v>92</v>
      </c>
      <c r="F453" s="227" t="s">
        <v>75</v>
      </c>
      <c r="G453" s="229">
        <f>IFERROR('4 Forfaits par cas'!F45,0)</f>
        <v>0</v>
      </c>
      <c r="H453" s="227" t="str">
        <f t="shared" si="50"/>
        <v/>
      </c>
      <c r="I453" s="227" t="str">
        <f t="shared" si="54"/>
        <v/>
      </c>
      <c r="J453" s="227" t="str">
        <f t="shared" si="51"/>
        <v/>
      </c>
      <c r="K453" s="230" t="str">
        <f t="shared" si="52"/>
        <v/>
      </c>
      <c r="L453" s="231" t="str">
        <f t="shared" si="53"/>
        <v/>
      </c>
    </row>
    <row r="454" spans="1:14" x14ac:dyDescent="0.25">
      <c r="A454" s="227" t="str">
        <f>TEXT('1 Récapitulation'!$E$10 &amp; "-SHR","@")</f>
        <v>-SHR</v>
      </c>
      <c r="B454" s="227" t="str">
        <f>TEXT(IF(G454&lt;&gt; 0,'1 Récapitulation'!$E$10,""),"@")</f>
        <v/>
      </c>
      <c r="C454" s="227" t="s">
        <v>99</v>
      </c>
      <c r="D454" s="227" t="s">
        <v>100</v>
      </c>
      <c r="E454" s="233" t="s">
        <v>101</v>
      </c>
      <c r="F454" s="227" t="s">
        <v>102</v>
      </c>
      <c r="G454" s="229">
        <f>IFERROR('4 Forfaits par cas'!F49,0)</f>
        <v>0</v>
      </c>
      <c r="H454" s="227" t="str">
        <f t="shared" si="50"/>
        <v/>
      </c>
      <c r="I454" s="227" t="str">
        <f t="shared" si="54"/>
        <v/>
      </c>
      <c r="J454" s="227" t="str">
        <f t="shared" si="51"/>
        <v/>
      </c>
      <c r="K454" s="230" t="str">
        <f t="shared" si="52"/>
        <v/>
      </c>
      <c r="L454" s="231" t="str">
        <f t="shared" si="53"/>
        <v/>
      </c>
    </row>
    <row r="455" spans="1:14" x14ac:dyDescent="0.25">
      <c r="A455" s="227" t="str">
        <f>TEXT('1 Récapitulation'!$E$10 &amp; "-SHR","@")</f>
        <v>-SHR</v>
      </c>
      <c r="B455" s="227" t="str">
        <f>TEXT(IF(G455&lt;&gt; 0,'1 Récapitulation'!$E$10,""),"@")</f>
        <v/>
      </c>
      <c r="C455" s="227" t="s">
        <v>99</v>
      </c>
      <c r="D455" s="227" t="s">
        <v>103</v>
      </c>
      <c r="E455" s="233" t="s">
        <v>101</v>
      </c>
      <c r="F455" s="227" t="s">
        <v>104</v>
      </c>
      <c r="G455" s="229">
        <f>IFERROR('4 Forfaits par cas'!F50,0)</f>
        <v>0</v>
      </c>
      <c r="H455" s="227" t="str">
        <f t="shared" si="50"/>
        <v/>
      </c>
      <c r="I455" s="227" t="str">
        <f t="shared" si="54"/>
        <v/>
      </c>
      <c r="J455" s="227" t="str">
        <f t="shared" si="51"/>
        <v/>
      </c>
      <c r="K455" s="230" t="str">
        <f t="shared" si="52"/>
        <v/>
      </c>
      <c r="L455" s="231" t="str">
        <f t="shared" si="53"/>
        <v/>
      </c>
    </row>
    <row r="456" spans="1:14" x14ac:dyDescent="0.25">
      <c r="A456" s="227" t="str">
        <f>TEXT('1 Récapitulation'!$E$10 &amp; "-SHR","@")</f>
        <v>-SHR</v>
      </c>
      <c r="B456" s="227" t="str">
        <f>TEXT(IF(G456&lt;&gt; 0,'1 Récapitulation'!$E$10,""),"@")</f>
        <v/>
      </c>
      <c r="C456" s="227" t="s">
        <v>99</v>
      </c>
      <c r="D456" s="227" t="s">
        <v>105</v>
      </c>
      <c r="E456" s="233" t="s">
        <v>101</v>
      </c>
      <c r="F456" s="227" t="s">
        <v>106</v>
      </c>
      <c r="G456" s="229">
        <f>IFERROR('4 Forfaits par cas'!F51,0)</f>
        <v>0</v>
      </c>
      <c r="H456" s="227" t="str">
        <f t="shared" si="50"/>
        <v/>
      </c>
      <c r="I456" s="227" t="str">
        <f t="shared" si="54"/>
        <v/>
      </c>
      <c r="J456" s="227" t="str">
        <f t="shared" si="51"/>
        <v/>
      </c>
      <c r="K456" s="230" t="str">
        <f t="shared" si="52"/>
        <v/>
      </c>
      <c r="L456" s="231" t="str">
        <f t="shared" si="53"/>
        <v/>
      </c>
    </row>
    <row r="457" spans="1:14" x14ac:dyDescent="0.25">
      <c r="A457" s="227" t="str">
        <f>TEXT('1 Récapitulation'!$E$10 &amp; "-SHR","@")</f>
        <v>-SHR</v>
      </c>
      <c r="B457" s="227" t="str">
        <f>TEXT(IF(G457&lt;&gt; 0,'1 Récapitulation'!$E$10,""),"@")</f>
        <v/>
      </c>
      <c r="C457" s="227" t="s">
        <v>99</v>
      </c>
      <c r="D457" s="227" t="s">
        <v>107</v>
      </c>
      <c r="E457" s="233" t="s">
        <v>101</v>
      </c>
      <c r="F457" s="227" t="s">
        <v>108</v>
      </c>
      <c r="G457" s="229">
        <f>IFERROR('4 Forfaits par cas'!F52,0)</f>
        <v>0</v>
      </c>
      <c r="H457" s="227" t="str">
        <f t="shared" si="50"/>
        <v/>
      </c>
      <c r="I457" s="227" t="str">
        <f t="shared" si="54"/>
        <v/>
      </c>
      <c r="J457" s="227" t="str">
        <f t="shared" si="51"/>
        <v/>
      </c>
      <c r="K457" s="230" t="str">
        <f t="shared" si="52"/>
        <v/>
      </c>
      <c r="L457" s="231" t="str">
        <f t="shared" si="53"/>
        <v/>
      </c>
    </row>
    <row r="458" spans="1:14" x14ac:dyDescent="0.25">
      <c r="A458" s="227" t="str">
        <f>TEXT('1 Récapitulation'!$E$10 &amp; "-SHR","@")</f>
        <v>-SHR</v>
      </c>
      <c r="B458" s="227" t="str">
        <f>TEXT(IF(G458&lt;&gt; 0,'1 Récapitulation'!$E$10,""),"@")</f>
        <v/>
      </c>
      <c r="C458" s="227" t="s">
        <v>99</v>
      </c>
      <c r="D458" s="227" t="s">
        <v>109</v>
      </c>
      <c r="E458" s="233" t="s">
        <v>101</v>
      </c>
      <c r="F458" s="227" t="s">
        <v>110</v>
      </c>
      <c r="G458" s="229">
        <f>IFERROR('4 Forfaits par cas'!F53,0)</f>
        <v>0</v>
      </c>
      <c r="H458" s="227" t="str">
        <f t="shared" si="50"/>
        <v/>
      </c>
      <c r="I458" s="227" t="str">
        <f t="shared" si="54"/>
        <v/>
      </c>
      <c r="J458" s="227" t="str">
        <f t="shared" si="51"/>
        <v/>
      </c>
      <c r="K458" s="230" t="str">
        <f t="shared" si="52"/>
        <v/>
      </c>
      <c r="L458" s="231" t="str">
        <f t="shared" si="53"/>
        <v/>
      </c>
    </row>
    <row r="459" spans="1:14" x14ac:dyDescent="0.25">
      <c r="A459" s="227" t="str">
        <f>TEXT('1 Récapitulation'!$E$10 &amp; "-SHR","@")</f>
        <v>-SHR</v>
      </c>
      <c r="B459" s="227" t="str">
        <f>TEXT(IF(G459&lt;&gt; 0,'1 Récapitulation'!$E$10,""),"@")</f>
        <v/>
      </c>
      <c r="C459" s="227" t="s">
        <v>99</v>
      </c>
      <c r="D459" s="227" t="s">
        <v>111</v>
      </c>
      <c r="E459" s="233" t="s">
        <v>101</v>
      </c>
      <c r="F459" s="227" t="s">
        <v>86</v>
      </c>
      <c r="G459" s="229">
        <f>IFERROR('4 Forfaits par cas'!F54,0)</f>
        <v>0</v>
      </c>
      <c r="H459" s="227" t="str">
        <f t="shared" si="50"/>
        <v/>
      </c>
      <c r="I459" s="227" t="str">
        <f t="shared" si="54"/>
        <v/>
      </c>
      <c r="J459" s="227" t="str">
        <f t="shared" si="51"/>
        <v/>
      </c>
      <c r="K459" s="230" t="str">
        <f t="shared" si="52"/>
        <v/>
      </c>
      <c r="L459" s="231" t="str">
        <f t="shared" si="53"/>
        <v/>
      </c>
    </row>
    <row r="460" spans="1:14" x14ac:dyDescent="0.25">
      <c r="A460" s="227" t="str">
        <f>TEXT('1 Récapitulation'!$E$10 &amp; "-SHR","@")</f>
        <v>-SHR</v>
      </c>
      <c r="B460" s="227" t="str">
        <f>TEXT(IF(G460&lt;&gt; 0,'1 Récapitulation'!$E$10,""),"@")</f>
        <v>0</v>
      </c>
      <c r="C460" s="227" t="s">
        <v>99</v>
      </c>
      <c r="D460" s="227" t="s">
        <v>112</v>
      </c>
      <c r="E460" s="233" t="s">
        <v>101</v>
      </c>
      <c r="F460" s="227" t="s">
        <v>88</v>
      </c>
      <c r="G460" s="229">
        <f>IFERROR('4 Forfaits par cas'!F55,0)</f>
        <v>397</v>
      </c>
      <c r="H460" s="227" t="str">
        <f t="shared" si="50"/>
        <v/>
      </c>
      <c r="I460" s="227" t="str">
        <f t="shared" si="54"/>
        <v/>
      </c>
      <c r="J460" s="227" t="str">
        <f t="shared" si="51"/>
        <v/>
      </c>
      <c r="K460" s="230" t="str">
        <f t="shared" si="52"/>
        <v/>
      </c>
      <c r="L460" s="231" t="str">
        <f t="shared" si="53"/>
        <v/>
      </c>
    </row>
    <row r="461" spans="1:14" x14ac:dyDescent="0.25">
      <c r="A461" s="227" t="str">
        <f>TEXT('1 Récapitulation'!$E$10 &amp; "-SHR","@")</f>
        <v>-SHR</v>
      </c>
      <c r="B461" s="227" t="str">
        <f>TEXT(IF(G461&lt;&gt; 0,'1 Récapitulation'!$E$10,""),"@")</f>
        <v/>
      </c>
      <c r="C461" s="227" t="s">
        <v>99</v>
      </c>
      <c r="D461" s="227" t="s">
        <v>113</v>
      </c>
      <c r="E461" s="233" t="s">
        <v>101</v>
      </c>
      <c r="F461" s="227" t="s">
        <v>75</v>
      </c>
      <c r="G461" s="229">
        <f>IFERROR('4 Forfaits par cas'!F56,0)</f>
        <v>0</v>
      </c>
      <c r="H461" s="227" t="str">
        <f t="shared" si="50"/>
        <v/>
      </c>
      <c r="I461" s="227" t="str">
        <f t="shared" si="54"/>
        <v/>
      </c>
      <c r="J461" s="227" t="str">
        <f t="shared" si="51"/>
        <v/>
      </c>
      <c r="K461" s="230" t="str">
        <f t="shared" si="52"/>
        <v/>
      </c>
      <c r="L461" s="231" t="str">
        <f t="shared" si="53"/>
        <v/>
      </c>
    </row>
    <row r="462" spans="1:14" x14ac:dyDescent="0.25">
      <c r="A462" s="227" t="str">
        <f>TEXT('1 Récapitulation'!$E$10 &amp; "-SHR","@")</f>
        <v>-SHR</v>
      </c>
      <c r="B462" s="227" t="str">
        <f>TEXT(IF(G462&lt;&gt; 0,'1 Récapitulation'!$E$10,""),"@")</f>
        <v/>
      </c>
      <c r="C462" s="227" t="s">
        <v>114</v>
      </c>
      <c r="D462" s="227" t="s">
        <v>115</v>
      </c>
      <c r="E462" s="233" t="s">
        <v>116</v>
      </c>
      <c r="F462" s="227" t="s">
        <v>117</v>
      </c>
      <c r="G462" s="229">
        <f>IFERROR('4 Forfaits par cas'!F59,0)</f>
        <v>0</v>
      </c>
      <c r="H462" s="227" t="str">
        <f t="shared" si="50"/>
        <v/>
      </c>
      <c r="I462" s="227" t="str">
        <f t="shared" si="54"/>
        <v/>
      </c>
      <c r="J462" s="227" t="str">
        <f t="shared" si="51"/>
        <v/>
      </c>
      <c r="K462" s="230" t="str">
        <f t="shared" si="52"/>
        <v/>
      </c>
      <c r="L462" s="231" t="str">
        <f t="shared" si="53"/>
        <v/>
      </c>
    </row>
    <row r="463" spans="1:14" x14ac:dyDescent="0.25">
      <c r="A463" s="227" t="str">
        <f>TEXT('1 Récapitulation'!$E$10 &amp; "-SHR","@")</f>
        <v>-SHR</v>
      </c>
      <c r="B463" s="227" t="str">
        <f>TEXT(IF(G463&lt;&gt; 0,'1 Récapitulation'!$E$10,""),"@")</f>
        <v/>
      </c>
      <c r="C463" s="227" t="s">
        <v>114</v>
      </c>
      <c r="D463" s="201" t="s">
        <v>118</v>
      </c>
      <c r="E463" s="233" t="s">
        <v>116</v>
      </c>
      <c r="F463" s="227" t="s">
        <v>119</v>
      </c>
      <c r="G463" s="229">
        <f>IFERROR('3a Synthèse par commune'!D53,0)</f>
        <v>0</v>
      </c>
      <c r="H463" s="227" t="str">
        <f t="shared" si="50"/>
        <v/>
      </c>
      <c r="I463" s="227" t="str">
        <f t="shared" si="54"/>
        <v/>
      </c>
      <c r="J463" s="227" t="str">
        <f t="shared" si="51"/>
        <v/>
      </c>
      <c r="K463" s="230" t="str">
        <f t="shared" si="52"/>
        <v/>
      </c>
      <c r="L463" s="231" t="str">
        <f t="shared" si="53"/>
        <v/>
      </c>
      <c r="N463" s="395" t="s">
        <v>494</v>
      </c>
    </row>
    <row r="464" spans="1:14" x14ac:dyDescent="0.25">
      <c r="A464" s="227" t="str">
        <f>TEXT('1 Récapitulation'!$E$10 &amp; "-SHR","@")</f>
        <v>-SHR</v>
      </c>
      <c r="B464" s="227" t="str">
        <f>TEXT(IF(G464&lt;&gt; 0,'1 Récapitulation'!$E$10,""),"@")</f>
        <v/>
      </c>
      <c r="C464" s="227" t="s">
        <v>114</v>
      </c>
      <c r="D464" s="201" t="s">
        <v>17</v>
      </c>
      <c r="E464" s="233" t="s">
        <v>116</v>
      </c>
      <c r="F464" s="227" t="s">
        <v>86</v>
      </c>
      <c r="G464" s="229">
        <f>IFERROR('4 Forfaits par cas'!F60,0)</f>
        <v>0</v>
      </c>
      <c r="H464" s="227" t="str">
        <f t="shared" si="50"/>
        <v/>
      </c>
      <c r="I464" s="227" t="str">
        <f t="shared" si="54"/>
        <v/>
      </c>
      <c r="J464" s="227" t="str">
        <f t="shared" si="51"/>
        <v/>
      </c>
      <c r="K464" s="230" t="str">
        <f t="shared" si="52"/>
        <v/>
      </c>
      <c r="L464" s="231" t="str">
        <f t="shared" si="53"/>
        <v/>
      </c>
    </row>
    <row r="465" spans="1:15" x14ac:dyDescent="0.25">
      <c r="A465" s="227" t="str">
        <f>TEXT('1 Récapitulation'!$E$10 &amp; "-SHR","@")</f>
        <v>-SHR</v>
      </c>
      <c r="B465" s="227" t="str">
        <f>TEXT(IF(G465&lt;&gt; 0,'1 Récapitulation'!$E$10,""),"@")</f>
        <v>0</v>
      </c>
      <c r="C465" s="227" t="s">
        <v>114</v>
      </c>
      <c r="D465" s="201" t="s">
        <v>120</v>
      </c>
      <c r="E465" s="233" t="s">
        <v>116</v>
      </c>
      <c r="F465" s="227" t="s">
        <v>88</v>
      </c>
      <c r="G465" s="229">
        <f>IFERROR('4 Forfaits par cas'!F61,0)</f>
        <v>516</v>
      </c>
      <c r="H465" s="227" t="str">
        <f t="shared" si="50"/>
        <v/>
      </c>
      <c r="I465" s="227" t="str">
        <f t="shared" si="54"/>
        <v/>
      </c>
      <c r="J465" s="227" t="str">
        <f t="shared" si="51"/>
        <v/>
      </c>
      <c r="K465" s="230" t="str">
        <f t="shared" si="52"/>
        <v/>
      </c>
      <c r="L465" s="231" t="str">
        <f t="shared" si="53"/>
        <v/>
      </c>
    </row>
    <row r="466" spans="1:15" x14ac:dyDescent="0.25">
      <c r="A466" s="227" t="str">
        <f>TEXT('1 Récapitulation'!$E$10 &amp; "-SHR","@")</f>
        <v>-SHR</v>
      </c>
      <c r="B466" s="227" t="str">
        <f>TEXT(IF(G466&lt;&gt; 0,'1 Récapitulation'!$E$10,""),"@")</f>
        <v/>
      </c>
      <c r="C466" s="227" t="s">
        <v>114</v>
      </c>
      <c r="D466" s="201" t="s">
        <v>121</v>
      </c>
      <c r="E466" s="233" t="s">
        <v>116</v>
      </c>
      <c r="F466" s="227" t="s">
        <v>75</v>
      </c>
      <c r="G466" s="229">
        <f>IFERROR('4 Forfaits par cas'!F62,0)</f>
        <v>0</v>
      </c>
      <c r="H466" s="227" t="str">
        <f t="shared" si="50"/>
        <v/>
      </c>
      <c r="I466" s="227" t="str">
        <f t="shared" si="54"/>
        <v/>
      </c>
      <c r="J466" s="227" t="str">
        <f t="shared" si="51"/>
        <v/>
      </c>
      <c r="K466" s="230" t="str">
        <f t="shared" si="52"/>
        <v/>
      </c>
      <c r="L466" s="231" t="str">
        <f t="shared" si="53"/>
        <v/>
      </c>
    </row>
    <row r="467" spans="1:15" x14ac:dyDescent="0.25">
      <c r="A467" s="227" t="str">
        <f>TEXT('1 Récapitulation'!$E$10 &amp; "-SHR","@")</f>
        <v>-SHR</v>
      </c>
      <c r="B467" s="227" t="str">
        <f>TEXT(IF(G467&lt;&gt; 0,'1 Récapitulation'!$E$10,""),"@")</f>
        <v/>
      </c>
      <c r="C467" s="227" t="s">
        <v>17</v>
      </c>
      <c r="D467" s="227" t="s">
        <v>122</v>
      </c>
      <c r="E467" s="233" t="s">
        <v>123</v>
      </c>
      <c r="F467" s="227" t="s">
        <v>86</v>
      </c>
      <c r="G467" s="229">
        <f>G442+G446+G451+G459+G464</f>
        <v>0</v>
      </c>
      <c r="H467" s="227" t="str">
        <f t="shared" si="50"/>
        <v/>
      </c>
      <c r="I467" s="227" t="str">
        <f t="shared" si="54"/>
        <v/>
      </c>
      <c r="J467" s="227" t="str">
        <f t="shared" si="51"/>
        <v/>
      </c>
      <c r="K467" s="230" t="str">
        <f t="shared" si="52"/>
        <v/>
      </c>
      <c r="L467" s="231" t="str">
        <f t="shared" si="53"/>
        <v/>
      </c>
      <c r="N467" s="395" t="s">
        <v>440</v>
      </c>
    </row>
    <row r="468" spans="1:15" x14ac:dyDescent="0.25">
      <c r="A468" s="227" t="str">
        <f>TEXT('1 Récapitulation'!$E$10 &amp; "-SHR","@")</f>
        <v>-SHR</v>
      </c>
      <c r="B468" s="227" t="str">
        <f>TEXT(IF(G468&lt;&gt; 0,'1 Récapitulation'!$E$10,""),"@")</f>
        <v/>
      </c>
      <c r="C468" s="227" t="s">
        <v>6</v>
      </c>
      <c r="D468" s="227" t="s">
        <v>124</v>
      </c>
      <c r="E468" s="233" t="s">
        <v>78</v>
      </c>
      <c r="F468" s="227" t="s">
        <v>125</v>
      </c>
      <c r="G468" s="229">
        <f>G444+G453+G448</f>
        <v>0</v>
      </c>
      <c r="H468" s="227" t="str">
        <f t="shared" si="50"/>
        <v/>
      </c>
      <c r="I468" s="227" t="str">
        <f t="shared" si="54"/>
        <v/>
      </c>
      <c r="J468" s="227" t="str">
        <f t="shared" si="51"/>
        <v/>
      </c>
      <c r="K468" s="230" t="str">
        <f t="shared" si="52"/>
        <v/>
      </c>
      <c r="L468" s="231" t="str">
        <f t="shared" si="53"/>
        <v/>
      </c>
    </row>
    <row r="469" spans="1:15" x14ac:dyDescent="0.25">
      <c r="A469" s="227" t="str">
        <f>TEXT('1 Récapitulation'!$E$10 &amp; "-SHR","@")</f>
        <v>-SHR</v>
      </c>
      <c r="B469" s="227" t="str">
        <f>TEXT(IF(G469&lt;&gt; 0,'1 Récapitulation'!$E$10,""),"@")</f>
        <v/>
      </c>
      <c r="C469" s="227" t="s">
        <v>6</v>
      </c>
      <c r="D469" s="227" t="s">
        <v>126</v>
      </c>
      <c r="E469" s="233" t="s">
        <v>78</v>
      </c>
      <c r="F469" s="227" t="s">
        <v>127</v>
      </c>
      <c r="G469" s="229">
        <f>G461+G466</f>
        <v>0</v>
      </c>
      <c r="H469" s="227" t="str">
        <f t="shared" si="50"/>
        <v/>
      </c>
      <c r="I469" s="227" t="str">
        <f t="shared" si="54"/>
        <v/>
      </c>
      <c r="J469" s="227" t="str">
        <f t="shared" si="51"/>
        <v/>
      </c>
      <c r="K469" s="230" t="str">
        <f t="shared" si="52"/>
        <v/>
      </c>
      <c r="L469" s="231" t="str">
        <f t="shared" si="53"/>
        <v/>
      </c>
    </row>
    <row r="470" spans="1:15" x14ac:dyDescent="0.25">
      <c r="A470" s="227" t="str">
        <f>TEXT('1 Récapitulation'!$E$10 &amp; "-SHR","@")</f>
        <v>-SHR</v>
      </c>
      <c r="B470" s="227" t="str">
        <f>TEXT(IF(G470&lt;&gt; 0,'1 Récapitulation'!$E$10,""),"@")</f>
        <v/>
      </c>
      <c r="C470" s="227" t="s">
        <v>6</v>
      </c>
      <c r="D470" s="201" t="s">
        <v>128</v>
      </c>
      <c r="E470" s="233" t="s">
        <v>78</v>
      </c>
      <c r="F470" s="201" t="s">
        <v>129</v>
      </c>
      <c r="G470" s="196">
        <f>G468+G469</f>
        <v>0</v>
      </c>
      <c r="H470" s="227" t="str">
        <f t="shared" si="50"/>
        <v/>
      </c>
      <c r="I470" s="227" t="str">
        <f t="shared" si="54"/>
        <v/>
      </c>
      <c r="J470" s="227" t="str">
        <f t="shared" si="51"/>
        <v/>
      </c>
      <c r="K470" s="230" t="str">
        <f t="shared" si="52"/>
        <v/>
      </c>
      <c r="L470" s="231" t="str">
        <f t="shared" si="53"/>
        <v/>
      </c>
    </row>
    <row r="471" spans="1:15" x14ac:dyDescent="0.25">
      <c r="A471" s="227" t="str">
        <f>TEXT('1 Récapitulation'!$E$10 &amp; "-SHR","@")</f>
        <v>-SHR</v>
      </c>
      <c r="B471" s="227" t="str">
        <f>TEXT(IF(G471&lt;&gt; 0,'1 Récapitulation'!$E$10,""),"@")</f>
        <v/>
      </c>
      <c r="C471" s="227" t="s">
        <v>6</v>
      </c>
      <c r="D471" s="227" t="s">
        <v>130</v>
      </c>
      <c r="E471" s="233" t="s">
        <v>78</v>
      </c>
      <c r="F471" s="227" t="s">
        <v>131</v>
      </c>
      <c r="G471" s="229">
        <f>G470+G436</f>
        <v>0</v>
      </c>
      <c r="H471" s="227" t="str">
        <f t="shared" si="50"/>
        <v/>
      </c>
      <c r="I471" s="227" t="str">
        <f t="shared" si="54"/>
        <v/>
      </c>
      <c r="J471" s="227" t="str">
        <f t="shared" si="51"/>
        <v/>
      </c>
      <c r="K471" s="230" t="str">
        <f t="shared" si="52"/>
        <v/>
      </c>
      <c r="L471" s="231" t="str">
        <f t="shared" si="53"/>
        <v/>
      </c>
      <c r="N471" s="395" t="s">
        <v>397</v>
      </c>
    </row>
    <row r="472" spans="1:15" x14ac:dyDescent="0.25">
      <c r="A472" s="227" t="str">
        <f>TEXT('1 Récapitulation'!$E$10 &amp; "-SHR","@")</f>
        <v>-SHR</v>
      </c>
      <c r="B472" s="227" t="str">
        <f>TEXT(IF(G472&lt;&gt; 0,'1 Récapitulation'!$E$10,""),"@")</f>
        <v/>
      </c>
      <c r="C472" s="227" t="s">
        <v>64</v>
      </c>
      <c r="D472" s="227" t="s">
        <v>394</v>
      </c>
      <c r="E472" s="227" t="s">
        <v>66</v>
      </c>
      <c r="F472" s="227" t="s">
        <v>395</v>
      </c>
      <c r="G472" s="229">
        <f>IFERROR('1 Récapitulation'!$F$39,0)</f>
        <v>0</v>
      </c>
      <c r="H472" s="227" t="str">
        <f t="shared" ref="H472" si="55">IF(G472&lt;&gt;0,IF(F472="1000","Aufwand",IF(OR(F472="1001",F472="1002",F472="1003",F472="1004",F472="1004",F472="1005",F472="1006"),"Ertrag","")),"")</f>
        <v/>
      </c>
      <c r="I472" s="227" t="str">
        <f t="shared" ref="I472" si="56">IF(H472&lt;&gt;"","Total","")</f>
        <v/>
      </c>
      <c r="J472" s="227" t="str">
        <f t="shared" ref="J472" si="57">IF(H472="Aufwand","Total Aufwand",IF(H472="Ertrag","Total Ertrag",""))</f>
        <v/>
      </c>
      <c r="K472" s="230" t="str">
        <f t="shared" ref="K472" si="58">IF(H472&lt;&gt;"","999999999.99","")</f>
        <v/>
      </c>
      <c r="L472" s="231" t="str">
        <f t="shared" ref="L472" si="59">IF(H472="Aufwand","900",IF(H472="Ertrag","901",""))</f>
        <v/>
      </c>
    </row>
    <row r="473" spans="1:15" x14ac:dyDescent="0.25">
      <c r="A473" s="227" t="str">
        <f>TEXT('1 Récapitulation'!$E$10 &amp; "-SHR","@")</f>
        <v>-SHR</v>
      </c>
      <c r="B473" s="227" t="str">
        <f>TEXT(IF(G473&lt;&gt; 0,'1 Récapitulation'!$E$10,""),"@")</f>
        <v/>
      </c>
      <c r="C473" s="227" t="s">
        <v>64</v>
      </c>
      <c r="D473" s="201" t="s">
        <v>136</v>
      </c>
      <c r="E473" s="233" t="s">
        <v>66</v>
      </c>
      <c r="F473" s="227" t="s">
        <v>396</v>
      </c>
      <c r="G473" s="229">
        <f>IFERROR('2d Coûts particuliers'!B38,0)</f>
        <v>0</v>
      </c>
      <c r="H473" s="227" t="str">
        <f t="shared" ref="H473" si="60">IF(G473&lt;&gt;0,IF(F473="1000","Aufwand",IF(OR(F473="1001",F473="1002",F473="1003",F473="1004",F473="1004",F473="1005",F473="1006"),"Ertrag","")),"")</f>
        <v/>
      </c>
      <c r="I473" s="227" t="str">
        <f t="shared" ref="I473" si="61">IF(H473&lt;&gt;"","Total","")</f>
        <v/>
      </c>
      <c r="J473" s="227" t="str">
        <f t="shared" ref="J473" si="62">IF(H473="Aufwand","Total Aufwand",IF(H473="Ertrag","Total Ertrag",""))</f>
        <v/>
      </c>
      <c r="K473" s="230" t="str">
        <f t="shared" ref="K473" si="63">IF(H473&lt;&gt;"","999999999.99","")</f>
        <v/>
      </c>
      <c r="L473" s="231" t="str">
        <f t="shared" ref="L473" si="64">IF(H473="Aufwand","900",IF(H473="Ertrag","901",""))</f>
        <v/>
      </c>
      <c r="O473" s="196"/>
    </row>
    <row r="474" spans="1:15" x14ac:dyDescent="0.25">
      <c r="A474" s="227" t="str">
        <f>TEXT('1 Récapitulation'!$E$10 &amp; "-SHR","@")</f>
        <v>-SHR</v>
      </c>
      <c r="B474" s="227" t="str">
        <f>TEXT(IF(G474&lt;&gt; 0,'1 Récapitulation'!$E$10,""),"@")</f>
        <v/>
      </c>
      <c r="C474" s="227" t="s">
        <v>64</v>
      </c>
      <c r="D474" s="225" t="s">
        <v>473</v>
      </c>
      <c r="E474" s="233" t="s">
        <v>66</v>
      </c>
      <c r="F474" s="196" t="s">
        <v>474</v>
      </c>
      <c r="G474" s="229">
        <f>IFERROR('7 Animation de jeunesse'!D14,0)</f>
        <v>0</v>
      </c>
      <c r="H474" s="227" t="str">
        <f t="shared" ref="H474:H485" si="65">IF(G474&lt;&gt;0,IF(F474="1000","Aufwand",IF(OR(F474="1001",F474="1002",F474="1003",F474="1004",F474="1004",F474="1005",F474="1006"),"Ertrag","")),"")</f>
        <v/>
      </c>
      <c r="I474" s="227" t="str">
        <f t="shared" ref="I474:I485" si="66">IF(H474&lt;&gt;"","Total","")</f>
        <v/>
      </c>
      <c r="J474" s="227" t="str">
        <f t="shared" ref="J474:J485" si="67">IF(H474="Aufwand","Total Aufwand",IF(H474="Ertrag","Total Ertrag",""))</f>
        <v/>
      </c>
      <c r="K474" s="230" t="str">
        <f t="shared" ref="K474:K485" si="68">IF(H474&lt;&gt;"","999999999.99","")</f>
        <v/>
      </c>
      <c r="L474" s="231" t="str">
        <f t="shared" ref="L474:L485" si="69">IF(H474="Aufwand","900",IF(H474="Ertrag","901",""))</f>
        <v/>
      </c>
      <c r="O474" s="196"/>
    </row>
    <row r="475" spans="1:15" x14ac:dyDescent="0.25">
      <c r="A475" s="227" t="str">
        <f>TEXT('1 Récapitulation'!$E$10 &amp; "-SHR","@")</f>
        <v>-SHR</v>
      </c>
      <c r="B475" s="227" t="str">
        <f>TEXT(IF(G475&lt;&gt; 0,'1 Récapitulation'!$E$10,""),"@")</f>
        <v>0</v>
      </c>
      <c r="C475" s="227" t="s">
        <v>64</v>
      </c>
      <c r="D475" s="225" t="s">
        <v>475</v>
      </c>
      <c r="E475" s="233" t="s">
        <v>66</v>
      </c>
      <c r="F475" s="196" t="s">
        <v>476</v>
      </c>
      <c r="G475" s="229">
        <f>IFERROR('7 Animation de jeunesse'!C15,0)</f>
        <v>84.07</v>
      </c>
      <c r="H475" s="227" t="str">
        <f t="shared" si="65"/>
        <v/>
      </c>
      <c r="I475" s="227" t="str">
        <f t="shared" si="66"/>
        <v/>
      </c>
      <c r="J475" s="227" t="str">
        <f t="shared" si="67"/>
        <v/>
      </c>
      <c r="K475" s="230" t="str">
        <f t="shared" si="68"/>
        <v/>
      </c>
      <c r="L475" s="231" t="str">
        <f t="shared" si="69"/>
        <v/>
      </c>
      <c r="O475" s="196"/>
    </row>
    <row r="476" spans="1:15" x14ac:dyDescent="0.25">
      <c r="A476" s="227" t="str">
        <f>TEXT('1 Récapitulation'!$E$10 &amp; "-SHR","@")</f>
        <v>-SHR</v>
      </c>
      <c r="B476" s="227" t="str">
        <f>TEXT(IF(G476&lt;&gt; 0,'1 Récapitulation'!$E$10,""),"@")</f>
        <v/>
      </c>
      <c r="C476" s="227" t="s">
        <v>64</v>
      </c>
      <c r="D476" s="225" t="s">
        <v>477</v>
      </c>
      <c r="E476" s="233" t="s">
        <v>66</v>
      </c>
      <c r="F476" s="196" t="s">
        <v>478</v>
      </c>
      <c r="G476" s="229">
        <f>IFERROR('7 Animation de jeunesse'!D17,0)</f>
        <v>0</v>
      </c>
      <c r="H476" s="227" t="str">
        <f t="shared" si="65"/>
        <v/>
      </c>
      <c r="I476" s="227" t="str">
        <f t="shared" si="66"/>
        <v/>
      </c>
      <c r="J476" s="227" t="str">
        <f t="shared" si="67"/>
        <v/>
      </c>
      <c r="K476" s="230" t="str">
        <f t="shared" si="68"/>
        <v/>
      </c>
      <c r="L476" s="231" t="str">
        <f t="shared" si="69"/>
        <v/>
      </c>
      <c r="O476" s="196"/>
    </row>
    <row r="477" spans="1:15" x14ac:dyDescent="0.25">
      <c r="A477" s="227" t="str">
        <f>TEXT('1 Récapitulation'!$E$10 &amp; "-SHR","@")</f>
        <v>-SHR</v>
      </c>
      <c r="B477" s="227" t="str">
        <f>TEXT(IF(G477&lt;&gt; 0,'1 Récapitulation'!$E$10,""),"@")</f>
        <v/>
      </c>
      <c r="C477" s="227" t="s">
        <v>64</v>
      </c>
      <c r="D477" s="225" t="s">
        <v>479</v>
      </c>
      <c r="E477" s="233" t="s">
        <v>66</v>
      </c>
      <c r="F477" s="196" t="s">
        <v>480</v>
      </c>
      <c r="G477" s="229">
        <f>IFERROR('7 Animation de jeunesse'!D22,0)</f>
        <v>0</v>
      </c>
      <c r="H477" s="227" t="str">
        <f t="shared" si="65"/>
        <v/>
      </c>
      <c r="I477" s="227" t="str">
        <f t="shared" si="66"/>
        <v/>
      </c>
      <c r="J477" s="227" t="str">
        <f t="shared" si="67"/>
        <v/>
      </c>
      <c r="K477" s="230" t="str">
        <f t="shared" si="68"/>
        <v/>
      </c>
      <c r="L477" s="231" t="str">
        <f t="shared" si="69"/>
        <v/>
      </c>
      <c r="O477" s="196"/>
    </row>
    <row r="478" spans="1:15" x14ac:dyDescent="0.25">
      <c r="A478" s="227" t="str">
        <f>TEXT('1 Récapitulation'!$E$10 &amp; "-SHR","@")</f>
        <v>-SHR</v>
      </c>
      <c r="B478" s="227" t="str">
        <f>TEXT(IF(G478&lt;&gt; 0,'1 Récapitulation'!$E$10,""),"@")</f>
        <v/>
      </c>
      <c r="C478" s="227" t="s">
        <v>64</v>
      </c>
      <c r="D478" s="225" t="s">
        <v>481</v>
      </c>
      <c r="E478" s="233" t="s">
        <v>66</v>
      </c>
      <c r="F478" s="196" t="s">
        <v>482</v>
      </c>
      <c r="G478" s="229">
        <f>IFERROR('7 Animation de jeunesse'!D23,0)</f>
        <v>0</v>
      </c>
      <c r="H478" s="227" t="str">
        <f t="shared" si="65"/>
        <v/>
      </c>
      <c r="I478" s="227" t="str">
        <f t="shared" si="66"/>
        <v/>
      </c>
      <c r="J478" s="227" t="str">
        <f t="shared" si="67"/>
        <v/>
      </c>
      <c r="K478" s="230" t="str">
        <f t="shared" si="68"/>
        <v/>
      </c>
      <c r="L478" s="231" t="str">
        <f t="shared" si="69"/>
        <v/>
      </c>
      <c r="O478" s="196"/>
    </row>
    <row r="479" spans="1:15" x14ac:dyDescent="0.25">
      <c r="A479" s="227" t="str">
        <f>TEXT('1 Récapitulation'!$E$10 &amp; "-SHR","@")</f>
        <v>-SHR</v>
      </c>
      <c r="B479" s="227" t="str">
        <f>TEXT(IF(G479&lt;&gt; 0,'1 Récapitulation'!$E$10,""),"@")</f>
        <v/>
      </c>
      <c r="C479" s="227" t="s">
        <v>64</v>
      </c>
      <c r="D479" s="225" t="s">
        <v>483</v>
      </c>
      <c r="E479" s="233" t="s">
        <v>66</v>
      </c>
      <c r="F479" s="196" t="s">
        <v>484</v>
      </c>
      <c r="G479" s="229">
        <f>IFERROR('7 Animation de jeunesse'!D25,0)</f>
        <v>0</v>
      </c>
      <c r="H479" s="227" t="str">
        <f t="shared" si="65"/>
        <v/>
      </c>
      <c r="I479" s="227" t="str">
        <f t="shared" si="66"/>
        <v/>
      </c>
      <c r="J479" s="227" t="str">
        <f t="shared" si="67"/>
        <v/>
      </c>
      <c r="K479" s="230" t="str">
        <f t="shared" si="68"/>
        <v/>
      </c>
      <c r="L479" s="231" t="str">
        <f t="shared" si="69"/>
        <v/>
      </c>
      <c r="O479" s="196"/>
    </row>
    <row r="480" spans="1:15" x14ac:dyDescent="0.25">
      <c r="A480" s="227" t="str">
        <f>TEXT('1 Récapitulation'!$E$10 &amp; "-SHR","@")</f>
        <v>-SHR</v>
      </c>
      <c r="B480" s="227" t="str">
        <f>TEXT(IF(G480&lt;&gt; 0,'1 Récapitulation'!$E$10,""),"@")</f>
        <v/>
      </c>
      <c r="C480" s="227" t="s">
        <v>64</v>
      </c>
      <c r="D480" s="225" t="s">
        <v>132</v>
      </c>
      <c r="E480" s="233" t="s">
        <v>66</v>
      </c>
      <c r="F480" s="196" t="s">
        <v>485</v>
      </c>
      <c r="G480" s="229">
        <f>IFERROR('7 Animation de jeunesse'!D28,0)</f>
        <v>0</v>
      </c>
      <c r="H480" s="227" t="str">
        <f t="shared" si="65"/>
        <v/>
      </c>
      <c r="I480" s="227" t="str">
        <f t="shared" si="66"/>
        <v/>
      </c>
      <c r="J480" s="227" t="str">
        <f t="shared" si="67"/>
        <v/>
      </c>
      <c r="K480" s="230" t="str">
        <f t="shared" si="68"/>
        <v/>
      </c>
      <c r="L480" s="231" t="str">
        <f t="shared" si="69"/>
        <v/>
      </c>
      <c r="O480" s="196"/>
    </row>
    <row r="481" spans="1:15" x14ac:dyDescent="0.25">
      <c r="A481" s="227" t="str">
        <f>TEXT('1 Récapitulation'!$E$10 &amp; "-SHR","@")</f>
        <v>-SHR</v>
      </c>
      <c r="B481" s="227" t="str">
        <f>TEXT(IF(G481&lt;&gt; 0,'1 Récapitulation'!$E$10,""),"@")</f>
        <v/>
      </c>
      <c r="C481" s="227" t="s">
        <v>64</v>
      </c>
      <c r="D481" s="225" t="s">
        <v>133</v>
      </c>
      <c r="E481" s="233" t="s">
        <v>66</v>
      </c>
      <c r="F481" s="196" t="s">
        <v>486</v>
      </c>
      <c r="G481" s="229">
        <f>IFERROR('7 Animation de jeunesse'!D29,0)</f>
        <v>0</v>
      </c>
      <c r="H481" s="227" t="str">
        <f t="shared" si="65"/>
        <v/>
      </c>
      <c r="I481" s="227" t="str">
        <f t="shared" si="66"/>
        <v/>
      </c>
      <c r="J481" s="227" t="str">
        <f t="shared" si="67"/>
        <v/>
      </c>
      <c r="K481" s="230" t="str">
        <f t="shared" si="68"/>
        <v/>
      </c>
      <c r="L481" s="231" t="str">
        <f t="shared" si="69"/>
        <v/>
      </c>
      <c r="O481" s="196"/>
    </row>
    <row r="482" spans="1:15" x14ac:dyDescent="0.25">
      <c r="A482" s="227" t="str">
        <f>TEXT('1 Récapitulation'!$E$10 &amp; "-SHR","@")</f>
        <v>-SHR</v>
      </c>
      <c r="B482" s="227" t="str">
        <f>TEXT(IF(G482&lt;&gt; 0,'1 Récapitulation'!$E$10,""),"@")</f>
        <v>0</v>
      </c>
      <c r="C482" s="227" t="s">
        <v>64</v>
      </c>
      <c r="D482" s="225" t="s">
        <v>487</v>
      </c>
      <c r="E482" s="233" t="s">
        <v>66</v>
      </c>
      <c r="F482" s="196" t="s">
        <v>488</v>
      </c>
      <c r="G482" s="229" t="str">
        <f>IFERROR('7 Animation de jeunesse'!D36,0)</f>
        <v/>
      </c>
      <c r="H482" s="227" t="str">
        <f t="shared" si="65"/>
        <v/>
      </c>
      <c r="I482" s="227" t="str">
        <f t="shared" si="66"/>
        <v/>
      </c>
      <c r="J482" s="227" t="str">
        <f t="shared" si="67"/>
        <v/>
      </c>
      <c r="K482" s="230" t="str">
        <f t="shared" si="68"/>
        <v/>
      </c>
      <c r="L482" s="231" t="str">
        <f t="shared" si="69"/>
        <v/>
      </c>
      <c r="O482" s="196"/>
    </row>
    <row r="483" spans="1:15" x14ac:dyDescent="0.25">
      <c r="A483" s="227" t="str">
        <f>TEXT('1 Récapitulation'!$E$10 &amp; "-SHR","@")</f>
        <v>-SHR</v>
      </c>
      <c r="B483" s="227" t="str">
        <f>TEXT(IF(G483&lt;&gt; 0,'1 Récapitulation'!$E$10,""),"@")</f>
        <v/>
      </c>
      <c r="C483" s="227" t="s">
        <v>64</v>
      </c>
      <c r="D483" s="225" t="s">
        <v>489</v>
      </c>
      <c r="E483" s="233" t="s">
        <v>66</v>
      </c>
      <c r="F483" s="196" t="s">
        <v>490</v>
      </c>
      <c r="G483" s="229">
        <f>IFERROR('7 Animation de jeunesse'!D40,0)</f>
        <v>0</v>
      </c>
      <c r="H483" s="227" t="str">
        <f t="shared" si="65"/>
        <v/>
      </c>
      <c r="I483" s="227" t="str">
        <f t="shared" si="66"/>
        <v/>
      </c>
      <c r="J483" s="227" t="str">
        <f t="shared" si="67"/>
        <v/>
      </c>
      <c r="K483" s="230" t="str">
        <f t="shared" si="68"/>
        <v/>
      </c>
      <c r="L483" s="231" t="str">
        <f t="shared" si="69"/>
        <v/>
      </c>
      <c r="O483" s="196"/>
    </row>
    <row r="484" spans="1:15" x14ac:dyDescent="0.25">
      <c r="A484" s="227" t="str">
        <f>TEXT('1 Récapitulation'!$E$10 &amp; "-SHR","@")</f>
        <v>-SHR</v>
      </c>
      <c r="B484" s="227" t="str">
        <f>TEXT(IF(G484&lt;&gt; 0,'1 Récapitulation'!$E$10,""),"@")</f>
        <v/>
      </c>
      <c r="C484" s="227" t="s">
        <v>64</v>
      </c>
      <c r="D484" s="225" t="s">
        <v>491</v>
      </c>
      <c r="E484" s="233" t="s">
        <v>66</v>
      </c>
      <c r="F484" s="196" t="s">
        <v>492</v>
      </c>
      <c r="G484" s="229">
        <f>IFERROR('7 Animation de jeunesse'!D41,0)</f>
        <v>0</v>
      </c>
      <c r="H484" s="227" t="str">
        <f t="shared" si="65"/>
        <v/>
      </c>
      <c r="I484" s="227" t="str">
        <f t="shared" si="66"/>
        <v/>
      </c>
      <c r="J484" s="227" t="str">
        <f t="shared" si="67"/>
        <v/>
      </c>
      <c r="K484" s="230" t="str">
        <f t="shared" si="68"/>
        <v/>
      </c>
      <c r="L484" s="231" t="str">
        <f t="shared" si="69"/>
        <v/>
      </c>
      <c r="O484" s="196"/>
    </row>
    <row r="485" spans="1:15" x14ac:dyDescent="0.25">
      <c r="A485" s="227" t="str">
        <f>TEXT('1 Récapitulation'!$E$10 &amp; "-SHR","@")</f>
        <v>-SHR</v>
      </c>
      <c r="B485" s="227" t="str">
        <f>TEXT(IF(G485&lt;&gt; 0,'1 Récapitulation'!$E$10,""),"@")</f>
        <v/>
      </c>
      <c r="C485" s="227" t="s">
        <v>64</v>
      </c>
      <c r="D485" s="225" t="s">
        <v>1</v>
      </c>
      <c r="E485" s="233" t="s">
        <v>66</v>
      </c>
      <c r="F485" s="196" t="s">
        <v>493</v>
      </c>
      <c r="G485" s="229">
        <f>IFERROR('7 Animation de jeunesse'!D42,0)</f>
        <v>0</v>
      </c>
      <c r="H485" s="227" t="str">
        <f t="shared" si="65"/>
        <v/>
      </c>
      <c r="I485" s="227" t="str">
        <f t="shared" si="66"/>
        <v/>
      </c>
      <c r="J485" s="227" t="str">
        <f t="shared" si="67"/>
        <v/>
      </c>
      <c r="K485" s="230" t="str">
        <f t="shared" si="68"/>
        <v/>
      </c>
      <c r="L485" s="231" t="str">
        <f t="shared" si="69"/>
        <v/>
      </c>
      <c r="O485" s="196"/>
    </row>
    <row r="486" spans="1:15" x14ac:dyDescent="0.25">
      <c r="O486" s="196"/>
    </row>
    <row r="487" spans="1:15" x14ac:dyDescent="0.25">
      <c r="O487" s="196"/>
    </row>
    <row r="488" spans="1:15" x14ac:dyDescent="0.25">
      <c r="O488" s="196"/>
    </row>
    <row r="489" spans="1:15" x14ac:dyDescent="0.25">
      <c r="O489" s="196"/>
    </row>
    <row r="490" spans="1:15" x14ac:dyDescent="0.25">
      <c r="O490" s="196"/>
    </row>
    <row r="491" spans="1:15" x14ac:dyDescent="0.25">
      <c r="O491" s="196"/>
    </row>
    <row r="532" spans="14:14" x14ac:dyDescent="0.25">
      <c r="N532" s="395" t="s">
        <v>397</v>
      </c>
    </row>
    <row r="533" spans="14:14" x14ac:dyDescent="0.25">
      <c r="N533" s="395" t="s">
        <v>397</v>
      </c>
    </row>
  </sheetData>
  <mergeCells count="1">
    <mergeCell ref="N1:O1"/>
  </mergeCells>
  <pageMargins left="0.7" right="0.7" top="0.78740157499999996" bottom="0.78740157499999996"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
  <sheetViews>
    <sheetView workbookViewId="0">
      <selection activeCell="B1" sqref="B1"/>
    </sheetView>
  </sheetViews>
  <sheetFormatPr baseColWidth="10" defaultColWidth="11.44140625" defaultRowHeight="13.2" x14ac:dyDescent="0.25"/>
  <cols>
    <col min="1" max="1" width="21.5546875" style="201" customWidth="1"/>
    <col min="2" max="2" width="14.5546875" style="201" customWidth="1"/>
    <col min="3" max="3" width="20.88671875" style="201" customWidth="1"/>
    <col min="4" max="4" width="25.109375" style="201" customWidth="1"/>
    <col min="5" max="5" width="20.109375" style="201" customWidth="1"/>
    <col min="6" max="6" width="23.6640625" style="201" bestFit="1" customWidth="1"/>
    <col min="7" max="7" width="15" style="201" bestFit="1" customWidth="1"/>
    <col min="8" max="16384" width="11.44140625" style="201"/>
  </cols>
  <sheetData>
    <row r="1" spans="1:7" x14ac:dyDescent="0.25">
      <c r="A1" s="420" t="s">
        <v>24</v>
      </c>
      <c r="B1" s="420" t="s">
        <v>25</v>
      </c>
      <c r="C1" s="420" t="s">
        <v>32</v>
      </c>
      <c r="D1" s="420" t="s">
        <v>33</v>
      </c>
      <c r="E1" s="420" t="s">
        <v>34</v>
      </c>
      <c r="F1" s="420" t="s">
        <v>35</v>
      </c>
      <c r="G1" s="234" t="s">
        <v>134</v>
      </c>
    </row>
    <row r="2" spans="1:7" x14ac:dyDescent="0.25">
      <c r="A2"/>
      <c r="B2"/>
      <c r="C2"/>
      <c r="D2"/>
      <c r="E2"/>
      <c r="F2"/>
      <c r="G2"/>
    </row>
    <row r="3" spans="1:7" x14ac:dyDescent="0.25">
      <c r="A3"/>
      <c r="B3"/>
      <c r="C3"/>
      <c r="D3"/>
      <c r="E3"/>
      <c r="F3"/>
      <c r="G3"/>
    </row>
    <row r="4" spans="1:7" x14ac:dyDescent="0.25">
      <c r="A4"/>
      <c r="B4"/>
      <c r="C4"/>
      <c r="D4"/>
      <c r="E4"/>
      <c r="F4"/>
      <c r="G4"/>
    </row>
    <row r="5" spans="1:7" x14ac:dyDescent="0.25">
      <c r="A5"/>
      <c r="B5"/>
      <c r="C5"/>
      <c r="D5"/>
      <c r="E5"/>
      <c r="F5"/>
      <c r="G5"/>
    </row>
    <row r="6" spans="1:7" x14ac:dyDescent="0.25">
      <c r="A6"/>
      <c r="B6"/>
      <c r="C6"/>
      <c r="D6"/>
      <c r="E6"/>
      <c r="F6"/>
      <c r="G6"/>
    </row>
    <row r="7" spans="1:7" x14ac:dyDescent="0.25">
      <c r="A7"/>
      <c r="B7"/>
      <c r="C7"/>
      <c r="D7"/>
      <c r="E7"/>
      <c r="F7"/>
      <c r="G7"/>
    </row>
    <row r="8" spans="1:7" x14ac:dyDescent="0.25">
      <c r="A8"/>
      <c r="B8"/>
      <c r="C8"/>
      <c r="D8"/>
      <c r="E8"/>
      <c r="F8"/>
      <c r="G8"/>
    </row>
    <row r="9" spans="1:7" x14ac:dyDescent="0.25">
      <c r="A9"/>
      <c r="B9"/>
      <c r="C9"/>
      <c r="D9"/>
      <c r="E9"/>
      <c r="F9"/>
      <c r="G9"/>
    </row>
    <row r="10" spans="1:7" x14ac:dyDescent="0.25">
      <c r="A10"/>
      <c r="B10"/>
      <c r="C10"/>
      <c r="D10"/>
      <c r="E10"/>
      <c r="F10"/>
      <c r="G10"/>
    </row>
    <row r="11" spans="1:7" x14ac:dyDescent="0.25">
      <c r="A11"/>
      <c r="B11"/>
      <c r="C11"/>
      <c r="D11"/>
      <c r="E11"/>
      <c r="F11"/>
      <c r="G11"/>
    </row>
    <row r="12" spans="1:7" x14ac:dyDescent="0.25">
      <c r="A12"/>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22" spans="1:7" x14ac:dyDescent="0.25">
      <c r="A22"/>
      <c r="B22"/>
      <c r="C22"/>
      <c r="D22"/>
      <c r="E22"/>
      <c r="F22"/>
      <c r="G22"/>
    </row>
    <row r="23" spans="1:7" x14ac:dyDescent="0.25">
      <c r="A23"/>
      <c r="B23"/>
      <c r="C23"/>
      <c r="D23"/>
      <c r="E23"/>
      <c r="F23"/>
      <c r="G23"/>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row r="30" spans="1:7" x14ac:dyDescent="0.25">
      <c r="A30"/>
      <c r="B30"/>
      <c r="C30"/>
      <c r="D30"/>
      <c r="E30"/>
      <c r="F30"/>
      <c r="G30"/>
    </row>
    <row r="31" spans="1:7" x14ac:dyDescent="0.25">
      <c r="A31"/>
      <c r="B31"/>
      <c r="C31"/>
      <c r="D31"/>
      <c r="E31"/>
      <c r="F31"/>
      <c r="G31"/>
    </row>
    <row r="32" spans="1:7" x14ac:dyDescent="0.25">
      <c r="A32"/>
      <c r="B32"/>
      <c r="C32"/>
      <c r="D32"/>
      <c r="E32"/>
      <c r="F32"/>
      <c r="G32"/>
    </row>
    <row r="33" spans="1:7" x14ac:dyDescent="0.25">
      <c r="A33"/>
      <c r="B33"/>
      <c r="C33"/>
      <c r="D33"/>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0" spans="1:7" x14ac:dyDescent="0.25">
      <c r="A40"/>
      <c r="B40"/>
      <c r="C40"/>
      <c r="D40"/>
      <c r="E40"/>
      <c r="F40"/>
      <c r="G40"/>
    </row>
    <row r="41" spans="1:7" x14ac:dyDescent="0.25">
      <c r="A41"/>
      <c r="B41"/>
      <c r="C41"/>
      <c r="D41"/>
      <c r="E41"/>
      <c r="F41"/>
      <c r="G41"/>
    </row>
    <row r="42" spans="1:7" x14ac:dyDescent="0.25">
      <c r="A42"/>
      <c r="B42"/>
      <c r="C42"/>
      <c r="D42"/>
      <c r="E42"/>
      <c r="F42"/>
      <c r="G42"/>
    </row>
    <row r="43" spans="1:7" x14ac:dyDescent="0.25">
      <c r="A43"/>
      <c r="B43"/>
      <c r="C43"/>
      <c r="D43"/>
      <c r="E43"/>
      <c r="F43"/>
      <c r="G43"/>
    </row>
    <row r="44" spans="1:7" x14ac:dyDescent="0.25">
      <c r="A44"/>
      <c r="B44"/>
      <c r="C44"/>
      <c r="D44"/>
      <c r="E44"/>
      <c r="F44"/>
      <c r="G44"/>
    </row>
    <row r="45" spans="1:7" x14ac:dyDescent="0.25">
      <c r="A45"/>
      <c r="B45"/>
      <c r="C45"/>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spans="1:7" x14ac:dyDescent="0.25">
      <c r="A49"/>
      <c r="B49"/>
      <c r="C49"/>
      <c r="D49"/>
      <c r="E49"/>
      <c r="F49"/>
      <c r="G49"/>
    </row>
    <row r="50" spans="1:7" x14ac:dyDescent="0.25">
      <c r="A50"/>
      <c r="B50"/>
      <c r="C50"/>
      <c r="D50"/>
      <c r="E50"/>
      <c r="F50"/>
      <c r="G50"/>
    </row>
    <row r="51" spans="1:7" x14ac:dyDescent="0.25">
      <c r="A51"/>
      <c r="B51"/>
      <c r="C51"/>
      <c r="D51"/>
      <c r="E51"/>
      <c r="F51"/>
      <c r="G51"/>
    </row>
    <row r="52" spans="1:7" x14ac:dyDescent="0.25">
      <c r="A52"/>
      <c r="B52"/>
      <c r="C52"/>
      <c r="D52"/>
      <c r="E52"/>
      <c r="F52"/>
      <c r="G52"/>
    </row>
    <row r="53" spans="1:7" x14ac:dyDescent="0.25">
      <c r="A53"/>
      <c r="B53"/>
      <c r="C53"/>
      <c r="D53"/>
      <c r="E53"/>
      <c r="F53"/>
      <c r="G53"/>
    </row>
    <row r="54" spans="1:7" x14ac:dyDescent="0.25">
      <c r="A54"/>
      <c r="B54"/>
      <c r="C54"/>
      <c r="D54"/>
      <c r="E54"/>
      <c r="F54"/>
      <c r="G54"/>
    </row>
    <row r="55" spans="1:7" x14ac:dyDescent="0.25">
      <c r="A55"/>
      <c r="B55"/>
      <c r="C55"/>
      <c r="D55"/>
      <c r="E55"/>
      <c r="F55"/>
      <c r="G55"/>
    </row>
    <row r="56" spans="1:7" x14ac:dyDescent="0.25">
      <c r="A56"/>
      <c r="B56"/>
      <c r="C56"/>
      <c r="D56"/>
      <c r="E56"/>
      <c r="F56"/>
      <c r="G56"/>
    </row>
    <row r="57" spans="1:7" x14ac:dyDescent="0.25">
      <c r="A57"/>
      <c r="B57"/>
      <c r="C57"/>
      <c r="D57"/>
      <c r="E57"/>
      <c r="F57"/>
      <c r="G57"/>
    </row>
    <row r="58" spans="1:7" x14ac:dyDescent="0.25">
      <c r="A58"/>
      <c r="B58"/>
      <c r="C58"/>
      <c r="D58"/>
      <c r="E58"/>
      <c r="F58"/>
      <c r="G58"/>
    </row>
    <row r="59" spans="1:7" x14ac:dyDescent="0.25">
      <c r="A59"/>
      <c r="B59"/>
      <c r="C59"/>
      <c r="D59"/>
      <c r="E59"/>
      <c r="F59"/>
      <c r="G59"/>
    </row>
    <row r="60" spans="1:7" x14ac:dyDescent="0.25">
      <c r="A60"/>
      <c r="B60"/>
      <c r="C60"/>
      <c r="D60"/>
      <c r="E60"/>
      <c r="F60"/>
      <c r="G60"/>
    </row>
    <row r="61" spans="1:7" x14ac:dyDescent="0.25">
      <c r="A61"/>
      <c r="B61"/>
      <c r="C61"/>
      <c r="D61"/>
      <c r="E61"/>
      <c r="F61"/>
      <c r="G61"/>
    </row>
    <row r="62" spans="1:7" x14ac:dyDescent="0.25">
      <c r="A62"/>
      <c r="B62"/>
      <c r="C62"/>
      <c r="D62"/>
      <c r="E62"/>
      <c r="F62"/>
      <c r="G62"/>
    </row>
    <row r="63" spans="1:7" x14ac:dyDescent="0.25">
      <c r="A63"/>
      <c r="B63"/>
      <c r="C63"/>
      <c r="D63"/>
      <c r="E63"/>
      <c r="F63"/>
      <c r="G63"/>
    </row>
    <row r="64" spans="1:7" x14ac:dyDescent="0.25">
      <c r="A64"/>
      <c r="B64"/>
      <c r="C64"/>
      <c r="D64"/>
      <c r="E64"/>
      <c r="F64"/>
      <c r="G64"/>
    </row>
    <row r="65" spans="1:7" x14ac:dyDescent="0.25">
      <c r="A65"/>
      <c r="B65"/>
      <c r="C65"/>
      <c r="D65"/>
      <c r="E65"/>
      <c r="F65"/>
      <c r="G65"/>
    </row>
    <row r="66" spans="1:7" x14ac:dyDescent="0.25">
      <c r="A66"/>
      <c r="B66"/>
      <c r="C66"/>
      <c r="D66"/>
      <c r="E66"/>
      <c r="F66"/>
      <c r="G66"/>
    </row>
    <row r="67" spans="1:7" x14ac:dyDescent="0.25">
      <c r="A67"/>
      <c r="B67"/>
      <c r="C67"/>
      <c r="D67"/>
      <c r="E67"/>
      <c r="F67"/>
      <c r="G67"/>
    </row>
    <row r="68" spans="1:7" x14ac:dyDescent="0.25">
      <c r="A68"/>
      <c r="B68"/>
      <c r="C68"/>
      <c r="D68"/>
      <c r="E68"/>
      <c r="F68"/>
      <c r="G68"/>
    </row>
    <row r="69" spans="1:7" x14ac:dyDescent="0.25">
      <c r="A69"/>
      <c r="B69"/>
      <c r="C69"/>
      <c r="D69"/>
      <c r="E69"/>
      <c r="F69"/>
      <c r="G69"/>
    </row>
    <row r="70" spans="1:7" x14ac:dyDescent="0.25">
      <c r="A70"/>
      <c r="B70"/>
      <c r="C70"/>
      <c r="D70"/>
      <c r="E70"/>
      <c r="F70"/>
      <c r="G70"/>
    </row>
    <row r="71" spans="1:7" x14ac:dyDescent="0.25">
      <c r="A71"/>
      <c r="B71"/>
      <c r="C71"/>
      <c r="D71"/>
      <c r="E71"/>
      <c r="F71"/>
      <c r="G71"/>
    </row>
    <row r="72" spans="1:7" x14ac:dyDescent="0.25">
      <c r="A72"/>
      <c r="B72"/>
      <c r="C72"/>
      <c r="D72"/>
      <c r="E72"/>
      <c r="F72"/>
      <c r="G72"/>
    </row>
    <row r="73" spans="1:7" x14ac:dyDescent="0.25">
      <c r="A73"/>
      <c r="B73"/>
      <c r="C73"/>
      <c r="D73"/>
      <c r="E73"/>
      <c r="F73"/>
      <c r="G73"/>
    </row>
    <row r="74" spans="1:7" x14ac:dyDescent="0.25">
      <c r="A74"/>
      <c r="B74"/>
      <c r="C74"/>
      <c r="D74"/>
      <c r="E74"/>
      <c r="F74"/>
      <c r="G74"/>
    </row>
    <row r="75" spans="1:7" x14ac:dyDescent="0.25">
      <c r="A75"/>
      <c r="B75"/>
      <c r="C75"/>
      <c r="D75"/>
      <c r="E75"/>
      <c r="F75"/>
      <c r="G75"/>
    </row>
    <row r="76" spans="1:7" x14ac:dyDescent="0.25">
      <c r="A76"/>
      <c r="B76"/>
      <c r="C76"/>
      <c r="D76"/>
      <c r="E76"/>
      <c r="F76"/>
      <c r="G76"/>
    </row>
    <row r="77" spans="1:7" x14ac:dyDescent="0.25">
      <c r="A77"/>
      <c r="B77"/>
      <c r="C77"/>
      <c r="D77"/>
      <c r="E77"/>
      <c r="F77"/>
      <c r="G77"/>
    </row>
    <row r="78" spans="1:7" x14ac:dyDescent="0.25">
      <c r="A78"/>
      <c r="B78"/>
      <c r="C78"/>
      <c r="D78"/>
      <c r="E78"/>
      <c r="F78"/>
      <c r="G78"/>
    </row>
    <row r="79" spans="1:7" x14ac:dyDescent="0.25">
      <c r="A79"/>
      <c r="B79"/>
      <c r="C79"/>
      <c r="D79"/>
      <c r="E79"/>
      <c r="F79"/>
      <c r="G79"/>
    </row>
    <row r="80" spans="1:7" x14ac:dyDescent="0.25">
      <c r="A80"/>
      <c r="B80"/>
      <c r="C80"/>
      <c r="D80"/>
      <c r="E80"/>
      <c r="F80"/>
      <c r="G80"/>
    </row>
    <row r="81" spans="1:7" x14ac:dyDescent="0.25">
      <c r="A81"/>
      <c r="B81"/>
      <c r="C81"/>
      <c r="D81"/>
      <c r="E81"/>
      <c r="F81"/>
      <c r="G81"/>
    </row>
    <row r="82" spans="1:7" x14ac:dyDescent="0.25">
      <c r="A82"/>
      <c r="B82"/>
      <c r="C82"/>
      <c r="D82"/>
      <c r="E82"/>
      <c r="F82"/>
      <c r="G82"/>
    </row>
    <row r="83" spans="1:7" x14ac:dyDescent="0.25">
      <c r="A83"/>
      <c r="B83"/>
      <c r="C83"/>
      <c r="D83"/>
      <c r="E83"/>
      <c r="F83"/>
      <c r="G83"/>
    </row>
    <row r="84" spans="1:7" x14ac:dyDescent="0.25">
      <c r="A84"/>
      <c r="B84"/>
      <c r="C84"/>
      <c r="D84"/>
      <c r="E84"/>
      <c r="F84"/>
      <c r="G84"/>
    </row>
    <row r="85" spans="1:7" x14ac:dyDescent="0.25">
      <c r="A85"/>
      <c r="B85"/>
      <c r="C85"/>
      <c r="D85"/>
      <c r="E85"/>
      <c r="F85"/>
      <c r="G85"/>
    </row>
    <row r="86" spans="1:7" x14ac:dyDescent="0.25">
      <c r="A86"/>
      <c r="B86"/>
      <c r="C86"/>
      <c r="D86"/>
      <c r="E86"/>
      <c r="F86"/>
      <c r="G86"/>
    </row>
    <row r="87" spans="1:7" x14ac:dyDescent="0.25">
      <c r="A87"/>
      <c r="B87"/>
      <c r="C87"/>
      <c r="D87"/>
      <c r="E87"/>
      <c r="F87"/>
      <c r="G87"/>
    </row>
    <row r="88" spans="1:7" x14ac:dyDescent="0.25">
      <c r="A88"/>
      <c r="B88"/>
      <c r="C88"/>
      <c r="D88"/>
      <c r="E88"/>
      <c r="F88"/>
      <c r="G88"/>
    </row>
    <row r="89" spans="1:7" x14ac:dyDescent="0.25">
      <c r="A89"/>
      <c r="B89"/>
      <c r="C89"/>
      <c r="D89"/>
      <c r="E89"/>
      <c r="F89"/>
      <c r="G89"/>
    </row>
    <row r="90" spans="1:7" x14ac:dyDescent="0.25">
      <c r="A90"/>
      <c r="B90"/>
      <c r="C90"/>
      <c r="D90"/>
      <c r="E90"/>
      <c r="F90"/>
      <c r="G90"/>
    </row>
    <row r="91" spans="1:7" x14ac:dyDescent="0.25">
      <c r="A91"/>
      <c r="B91"/>
      <c r="C91"/>
      <c r="D91"/>
      <c r="E91"/>
      <c r="F91"/>
      <c r="G91"/>
    </row>
    <row r="92" spans="1:7" x14ac:dyDescent="0.25">
      <c r="A92"/>
      <c r="B92"/>
      <c r="C92"/>
      <c r="D92"/>
      <c r="E92"/>
      <c r="F92"/>
      <c r="G92"/>
    </row>
    <row r="93" spans="1:7" x14ac:dyDescent="0.25">
      <c r="A93"/>
      <c r="B93"/>
      <c r="C93"/>
      <c r="D93"/>
      <c r="E93"/>
      <c r="F93"/>
      <c r="G93"/>
    </row>
    <row r="94" spans="1:7" x14ac:dyDescent="0.25">
      <c r="A94"/>
      <c r="B94"/>
      <c r="C94"/>
      <c r="D94"/>
      <c r="E94"/>
      <c r="F94"/>
      <c r="G94"/>
    </row>
    <row r="95" spans="1:7" x14ac:dyDescent="0.25">
      <c r="A95"/>
      <c r="B95"/>
      <c r="C95"/>
      <c r="D95"/>
      <c r="E95"/>
      <c r="F95"/>
      <c r="G95"/>
    </row>
    <row r="96" spans="1:7" x14ac:dyDescent="0.25">
      <c r="A96"/>
      <c r="B96"/>
      <c r="C96"/>
      <c r="D96"/>
      <c r="E96"/>
      <c r="F96"/>
      <c r="G96"/>
    </row>
    <row r="97" spans="1:7" x14ac:dyDescent="0.25">
      <c r="A97"/>
      <c r="B97"/>
      <c r="C97"/>
      <c r="D97"/>
      <c r="E97"/>
      <c r="F97"/>
      <c r="G97"/>
    </row>
    <row r="98" spans="1:7" x14ac:dyDescent="0.25">
      <c r="A98"/>
      <c r="B98"/>
      <c r="C98"/>
      <c r="D98"/>
      <c r="E98"/>
      <c r="F98"/>
      <c r="G98"/>
    </row>
    <row r="99" spans="1:7" x14ac:dyDescent="0.25">
      <c r="A99"/>
      <c r="B99"/>
      <c r="C99"/>
      <c r="D99"/>
      <c r="E99"/>
      <c r="F99"/>
      <c r="G99"/>
    </row>
    <row r="100" spans="1:7" x14ac:dyDescent="0.25">
      <c r="A100"/>
      <c r="B100"/>
      <c r="C100"/>
      <c r="D100"/>
      <c r="E100"/>
      <c r="F100"/>
      <c r="G100"/>
    </row>
    <row r="101" spans="1:7" x14ac:dyDescent="0.25">
      <c r="A101"/>
      <c r="B101"/>
      <c r="C101"/>
      <c r="D101"/>
      <c r="E101"/>
      <c r="F101"/>
      <c r="G101"/>
    </row>
  </sheetData>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E87"/>
  <sheetViews>
    <sheetView zoomScaleNormal="100" workbookViewId="0">
      <selection activeCell="A5" sqref="A5:D5"/>
    </sheetView>
  </sheetViews>
  <sheetFormatPr baseColWidth="10" defaultColWidth="11.44140625" defaultRowHeight="13.2" x14ac:dyDescent="0.25"/>
  <cols>
    <col min="1" max="1" width="3.5546875" style="2" customWidth="1"/>
    <col min="2" max="2" width="79.44140625" style="2" customWidth="1"/>
    <col min="3" max="4" width="12.5546875" style="2" customWidth="1"/>
    <col min="5" max="16384" width="11.44140625" style="2"/>
  </cols>
  <sheetData>
    <row r="1" spans="1:4" s="9" customFormat="1" ht="15.6" x14ac:dyDescent="0.3">
      <c r="A1" s="1" t="s">
        <v>156</v>
      </c>
      <c r="C1" s="3"/>
      <c r="D1" s="23" t="s">
        <v>174</v>
      </c>
    </row>
    <row r="2" spans="1:4" s="9" customFormat="1" x14ac:dyDescent="0.25">
      <c r="A2" s="3"/>
    </row>
    <row r="3" spans="1:4" ht="20.25" customHeight="1" x14ac:dyDescent="0.25">
      <c r="A3" s="10" t="s">
        <v>139</v>
      </c>
      <c r="C3" s="481">
        <v>2024</v>
      </c>
      <c r="D3" s="481"/>
    </row>
    <row r="4" spans="1:4" x14ac:dyDescent="0.25">
      <c r="A4" s="3" t="s">
        <v>173</v>
      </c>
    </row>
    <row r="5" spans="1:4" x14ac:dyDescent="0.25">
      <c r="A5" s="490"/>
      <c r="B5" s="471"/>
      <c r="C5" s="471"/>
      <c r="D5" s="471"/>
    </row>
    <row r="6" spans="1:4" x14ac:dyDescent="0.25">
      <c r="A6" s="482"/>
      <c r="B6" s="471"/>
      <c r="C6" s="471"/>
      <c r="D6" s="471"/>
    </row>
    <row r="7" spans="1:4" ht="20.25" customHeight="1" x14ac:dyDescent="0.25">
      <c r="A7" s="10" t="s">
        <v>140</v>
      </c>
      <c r="C7" s="491">
        <f>'1 Récapitulation'!E10</f>
        <v>0</v>
      </c>
      <c r="D7" s="492"/>
    </row>
    <row r="8" spans="1:4" ht="20.25" customHeight="1" x14ac:dyDescent="0.25">
      <c r="A8" s="12" t="s">
        <v>141</v>
      </c>
      <c r="B8" s="11"/>
      <c r="C8" s="493"/>
      <c r="D8" s="493"/>
    </row>
    <row r="9" spans="1:4" x14ac:dyDescent="0.25">
      <c r="A9" s="3" t="s">
        <v>142</v>
      </c>
    </row>
    <row r="10" spans="1:4" x14ac:dyDescent="0.25">
      <c r="A10" s="469"/>
      <c r="B10" s="470"/>
      <c r="C10" s="470"/>
      <c r="D10" s="470"/>
    </row>
    <row r="11" spans="1:4" x14ac:dyDescent="0.25">
      <c r="A11" s="469"/>
      <c r="B11" s="470"/>
      <c r="C11" s="470"/>
      <c r="D11" s="470"/>
    </row>
    <row r="12" spans="1:4" s="9" customFormat="1" x14ac:dyDescent="0.25">
      <c r="A12" s="3"/>
    </row>
    <row r="13" spans="1:4" ht="15.6" x14ac:dyDescent="0.25">
      <c r="A13" s="6" t="s">
        <v>175</v>
      </c>
    </row>
    <row r="14" spans="1:4" x14ac:dyDescent="0.25">
      <c r="A14" s="20" t="s">
        <v>176</v>
      </c>
    </row>
    <row r="15" spans="1:4" x14ac:dyDescent="0.25">
      <c r="A15" s="20" t="s">
        <v>177</v>
      </c>
    </row>
    <row r="16" spans="1:4" x14ac:dyDescent="0.25">
      <c r="A16" s="2" t="s">
        <v>178</v>
      </c>
    </row>
    <row r="17" spans="1:5" x14ac:dyDescent="0.25">
      <c r="A17" s="3"/>
    </row>
    <row r="18" spans="1:5" ht="15.6" x14ac:dyDescent="0.25">
      <c r="A18" s="6" t="s">
        <v>179</v>
      </c>
    </row>
    <row r="19" spans="1:5" ht="15.6" x14ac:dyDescent="0.3">
      <c r="A19" s="13"/>
      <c r="B19" s="14"/>
      <c r="C19" s="8" t="s">
        <v>304</v>
      </c>
      <c r="D19" s="8" t="s">
        <v>305</v>
      </c>
    </row>
    <row r="20" spans="1:5" ht="26.4" x14ac:dyDescent="0.25">
      <c r="A20" s="19">
        <v>1</v>
      </c>
      <c r="B20" s="83" t="s">
        <v>180</v>
      </c>
      <c r="C20" s="17"/>
      <c r="D20" s="17"/>
    </row>
    <row r="21" spans="1:5" ht="26.4" x14ac:dyDescent="0.25">
      <c r="A21" s="19">
        <v>2</v>
      </c>
      <c r="B21" s="5" t="s">
        <v>181</v>
      </c>
      <c r="C21" s="30"/>
      <c r="D21" s="30"/>
    </row>
    <row r="22" spans="1:5" ht="26.4" x14ac:dyDescent="0.25">
      <c r="A22" s="19">
        <v>3</v>
      </c>
      <c r="B22" s="83" t="s">
        <v>414</v>
      </c>
      <c r="C22" s="33"/>
      <c r="D22" s="33"/>
    </row>
    <row r="23" spans="1:5" ht="26.4" x14ac:dyDescent="0.25">
      <c r="A23" s="19">
        <v>4</v>
      </c>
      <c r="B23" s="83" t="s">
        <v>182</v>
      </c>
      <c r="C23" s="30"/>
      <c r="D23" s="30"/>
    </row>
    <row r="24" spans="1:5" ht="26.4" x14ac:dyDescent="0.25">
      <c r="A24" s="19">
        <v>5</v>
      </c>
      <c r="B24" s="83" t="s">
        <v>183</v>
      </c>
      <c r="C24" s="33"/>
      <c r="D24" s="33"/>
    </row>
    <row r="25" spans="1:5" ht="79.2" x14ac:dyDescent="0.25">
      <c r="A25" s="460">
        <v>6</v>
      </c>
      <c r="B25" s="461" t="s">
        <v>552</v>
      </c>
      <c r="C25" s="30"/>
      <c r="D25" s="30"/>
      <c r="E25" s="27"/>
    </row>
    <row r="26" spans="1:5" ht="39.6" x14ac:dyDescent="0.25">
      <c r="A26" s="19">
        <v>7</v>
      </c>
      <c r="B26" s="83" t="s">
        <v>184</v>
      </c>
      <c r="C26" s="33"/>
      <c r="D26" s="33"/>
    </row>
    <row r="27" spans="1:5" ht="26.4" x14ac:dyDescent="0.25">
      <c r="A27" s="19">
        <v>8</v>
      </c>
      <c r="B27" s="83" t="s">
        <v>185</v>
      </c>
      <c r="C27" s="30"/>
      <c r="D27" s="30"/>
    </row>
    <row r="28" spans="1:5" ht="39.6" x14ac:dyDescent="0.25">
      <c r="A28" s="19">
        <v>9</v>
      </c>
      <c r="B28" s="83" t="s">
        <v>186</v>
      </c>
      <c r="C28" s="33"/>
      <c r="D28" s="33"/>
    </row>
    <row r="29" spans="1:5" ht="39.6" x14ac:dyDescent="0.25">
      <c r="A29" s="19">
        <v>10</v>
      </c>
      <c r="B29" s="83" t="s">
        <v>459</v>
      </c>
      <c r="C29" s="30"/>
      <c r="D29" s="30"/>
    </row>
    <row r="30" spans="1:5" ht="39.6" x14ac:dyDescent="0.25">
      <c r="A30" s="19">
        <v>11</v>
      </c>
      <c r="B30" s="83" t="s">
        <v>460</v>
      </c>
      <c r="C30" s="33"/>
      <c r="D30" s="33"/>
    </row>
    <row r="31" spans="1:5" ht="26.4" x14ac:dyDescent="0.25">
      <c r="A31" s="19">
        <v>12</v>
      </c>
      <c r="B31" s="83" t="s">
        <v>461</v>
      </c>
      <c r="C31" s="30"/>
      <c r="D31" s="30"/>
    </row>
    <row r="32" spans="1:5" ht="39.6" x14ac:dyDescent="0.25">
      <c r="A32" s="19">
        <v>13</v>
      </c>
      <c r="B32" s="83" t="s">
        <v>415</v>
      </c>
      <c r="C32" s="33"/>
      <c r="D32" s="33"/>
    </row>
    <row r="33" spans="1:4" ht="39.6" x14ac:dyDescent="0.25">
      <c r="A33" s="399">
        <v>14</v>
      </c>
      <c r="B33" s="83" t="s">
        <v>462</v>
      </c>
      <c r="C33" s="30"/>
      <c r="D33" s="30"/>
    </row>
    <row r="34" spans="1:4" ht="66" x14ac:dyDescent="0.25">
      <c r="A34" s="19">
        <v>15</v>
      </c>
      <c r="B34" s="83" t="s">
        <v>187</v>
      </c>
      <c r="C34" s="33"/>
      <c r="D34" s="33"/>
    </row>
    <row r="35" spans="1:4" ht="39.6" x14ac:dyDescent="0.25">
      <c r="A35" s="483">
        <v>16</v>
      </c>
      <c r="B35" s="83" t="s">
        <v>188</v>
      </c>
      <c r="C35" s="30"/>
      <c r="D35" s="30"/>
    </row>
    <row r="36" spans="1:4" ht="81" customHeight="1" x14ac:dyDescent="0.25">
      <c r="A36" s="484"/>
      <c r="B36" s="189" t="s">
        <v>189</v>
      </c>
      <c r="C36" s="485"/>
      <c r="D36" s="486"/>
    </row>
    <row r="37" spans="1:4" x14ac:dyDescent="0.25">
      <c r="A37" s="19">
        <v>17</v>
      </c>
      <c r="B37" s="83" t="s">
        <v>190</v>
      </c>
      <c r="C37" s="494"/>
      <c r="D37" s="495"/>
    </row>
    <row r="38" spans="1:4" x14ac:dyDescent="0.25">
      <c r="A38" s="11"/>
      <c r="B38" s="15"/>
      <c r="C38" s="11"/>
      <c r="D38" s="11"/>
    </row>
    <row r="39" spans="1:4" ht="15" x14ac:dyDescent="0.25">
      <c r="A39" s="3" t="s">
        <v>191</v>
      </c>
      <c r="B39" s="7"/>
    </row>
    <row r="40" spans="1:4" x14ac:dyDescent="0.25">
      <c r="A40" s="482"/>
      <c r="B40" s="482"/>
      <c r="C40" s="482"/>
      <c r="D40" s="482"/>
    </row>
    <row r="41" spans="1:4" x14ac:dyDescent="0.25">
      <c r="A41" s="482"/>
      <c r="B41" s="482"/>
      <c r="C41" s="482"/>
      <c r="D41" s="482"/>
    </row>
    <row r="42" spans="1:4" x14ac:dyDescent="0.25">
      <c r="A42" s="482"/>
      <c r="B42" s="482"/>
      <c r="C42" s="482"/>
      <c r="D42" s="482"/>
    </row>
    <row r="43" spans="1:4" x14ac:dyDescent="0.25">
      <c r="A43" s="482"/>
      <c r="B43" s="482"/>
      <c r="C43" s="482"/>
      <c r="D43" s="482"/>
    </row>
    <row r="44" spans="1:4" x14ac:dyDescent="0.25">
      <c r="A44" s="482"/>
      <c r="B44" s="482"/>
      <c r="C44" s="482"/>
      <c r="D44" s="482"/>
    </row>
    <row r="45" spans="1:4" x14ac:dyDescent="0.25">
      <c r="A45" s="482"/>
      <c r="B45" s="482"/>
      <c r="C45" s="482"/>
      <c r="D45" s="482"/>
    </row>
    <row r="46" spans="1:4" x14ac:dyDescent="0.25">
      <c r="A46" s="482"/>
      <c r="B46" s="482"/>
      <c r="C46" s="482"/>
      <c r="D46" s="482"/>
    </row>
    <row r="47" spans="1:4" x14ac:dyDescent="0.25">
      <c r="A47" s="482"/>
      <c r="B47" s="482"/>
      <c r="C47" s="482"/>
      <c r="D47" s="482"/>
    </row>
    <row r="48" spans="1:4" x14ac:dyDescent="0.25">
      <c r="A48" s="482"/>
      <c r="B48" s="482"/>
      <c r="C48" s="482"/>
      <c r="D48" s="482"/>
    </row>
    <row r="49" spans="1:4" x14ac:dyDescent="0.25">
      <c r="A49" s="482"/>
      <c r="B49" s="482"/>
      <c r="C49" s="482"/>
      <c r="D49" s="482"/>
    </row>
    <row r="50" spans="1:4" x14ac:dyDescent="0.25">
      <c r="A50" s="482"/>
      <c r="B50" s="482"/>
      <c r="C50" s="482"/>
      <c r="D50" s="482"/>
    </row>
    <row r="51" spans="1:4" x14ac:dyDescent="0.25">
      <c r="A51" s="482"/>
      <c r="B51" s="482"/>
      <c r="C51" s="482"/>
      <c r="D51" s="482"/>
    </row>
    <row r="52" spans="1:4" x14ac:dyDescent="0.25">
      <c r="A52" s="482"/>
      <c r="B52" s="482"/>
      <c r="C52" s="482"/>
      <c r="D52" s="482"/>
    </row>
    <row r="53" spans="1:4" x14ac:dyDescent="0.25">
      <c r="A53" s="482"/>
      <c r="B53" s="482"/>
      <c r="C53" s="482"/>
      <c r="D53" s="482"/>
    </row>
    <row r="54" spans="1:4" x14ac:dyDescent="0.25">
      <c r="A54" s="482"/>
      <c r="B54" s="482"/>
      <c r="C54" s="482"/>
      <c r="D54" s="482"/>
    </row>
    <row r="55" spans="1:4" x14ac:dyDescent="0.25">
      <c r="A55" s="482"/>
      <c r="B55" s="482"/>
      <c r="C55" s="482"/>
      <c r="D55" s="482"/>
    </row>
    <row r="56" spans="1:4" x14ac:dyDescent="0.25">
      <c r="A56" s="482"/>
      <c r="B56" s="482"/>
      <c r="C56" s="482"/>
      <c r="D56" s="482"/>
    </row>
    <row r="57" spans="1:4" x14ac:dyDescent="0.25">
      <c r="A57" s="482"/>
      <c r="B57" s="482"/>
      <c r="C57" s="482"/>
      <c r="D57" s="482"/>
    </row>
    <row r="58" spans="1:4" x14ac:dyDescent="0.25">
      <c r="A58" s="482"/>
      <c r="B58" s="482"/>
      <c r="C58" s="482"/>
      <c r="D58" s="482"/>
    </row>
    <row r="59" spans="1:4" x14ac:dyDescent="0.25">
      <c r="A59" s="482"/>
      <c r="B59" s="482"/>
      <c r="C59" s="482"/>
      <c r="D59" s="482"/>
    </row>
    <row r="60" spans="1:4" x14ac:dyDescent="0.25">
      <c r="A60" s="482"/>
      <c r="B60" s="482"/>
      <c r="C60" s="482"/>
      <c r="D60" s="482"/>
    </row>
    <row r="61" spans="1:4" ht="15" x14ac:dyDescent="0.25">
      <c r="A61" s="3" t="s">
        <v>400</v>
      </c>
      <c r="B61" s="7"/>
    </row>
    <row r="62" spans="1:4" ht="15" x14ac:dyDescent="0.25">
      <c r="A62" s="3" t="s">
        <v>360</v>
      </c>
      <c r="B62" s="7"/>
    </row>
    <row r="63" spans="1:4" x14ac:dyDescent="0.25">
      <c r="A63" s="482"/>
      <c r="B63" s="487"/>
      <c r="C63" s="487"/>
      <c r="D63" s="487"/>
    </row>
    <row r="64" spans="1:4" x14ac:dyDescent="0.25">
      <c r="A64" s="487"/>
      <c r="B64" s="487"/>
      <c r="C64" s="487"/>
      <c r="D64" s="487"/>
    </row>
    <row r="65" spans="1:5" x14ac:dyDescent="0.25">
      <c r="A65" s="487"/>
      <c r="B65" s="487"/>
      <c r="C65" s="487"/>
      <c r="D65" s="487"/>
    </row>
    <row r="66" spans="1:5" ht="15" x14ac:dyDescent="0.25">
      <c r="A66" s="3" t="s">
        <v>194</v>
      </c>
      <c r="B66" s="7"/>
    </row>
    <row r="67" spans="1:5" ht="15" x14ac:dyDescent="0.25">
      <c r="A67" s="3" t="s">
        <v>195</v>
      </c>
      <c r="B67" s="7"/>
    </row>
    <row r="68" spans="1:5" x14ac:dyDescent="0.25">
      <c r="A68" s="482"/>
      <c r="B68" s="489"/>
      <c r="C68" s="489"/>
      <c r="D68" s="489"/>
    </row>
    <row r="69" spans="1:5" x14ac:dyDescent="0.25">
      <c r="A69" s="489"/>
      <c r="B69" s="489"/>
      <c r="C69" s="489"/>
      <c r="D69" s="489"/>
    </row>
    <row r="70" spans="1:5" x14ac:dyDescent="0.25">
      <c r="A70" s="487"/>
      <c r="B70" s="487"/>
      <c r="C70" s="487"/>
      <c r="D70" s="487"/>
    </row>
    <row r="71" spans="1:5" x14ac:dyDescent="0.25">
      <c r="A71" s="35"/>
      <c r="B71" s="35"/>
      <c r="C71" s="35"/>
      <c r="D71" s="35"/>
    </row>
    <row r="73" spans="1:5" x14ac:dyDescent="0.25">
      <c r="A73" s="3" t="s">
        <v>196</v>
      </c>
    </row>
    <row r="74" spans="1:5" x14ac:dyDescent="0.25">
      <c r="A74" s="3" t="s">
        <v>197</v>
      </c>
    </row>
    <row r="75" spans="1:5" ht="24.75" customHeight="1" x14ac:dyDescent="0.25">
      <c r="A75" s="488" t="s">
        <v>470</v>
      </c>
      <c r="B75" s="479"/>
      <c r="C75" s="479"/>
      <c r="D75" s="479"/>
      <c r="E75" s="479"/>
    </row>
    <row r="76" spans="1:5" x14ac:dyDescent="0.25">
      <c r="A76" s="344" t="s">
        <v>198</v>
      </c>
    </row>
    <row r="77" spans="1:5" x14ac:dyDescent="0.25">
      <c r="A77" s="20" t="s">
        <v>199</v>
      </c>
    </row>
    <row r="78" spans="1:5" x14ac:dyDescent="0.25">
      <c r="A78" s="344" t="s">
        <v>200</v>
      </c>
    </row>
    <row r="79" spans="1:5" x14ac:dyDescent="0.25">
      <c r="A79" s="18"/>
    </row>
    <row r="80" spans="1:5" x14ac:dyDescent="0.25">
      <c r="A80" s="20" t="s">
        <v>201</v>
      </c>
    </row>
    <row r="82" spans="1:1" x14ac:dyDescent="0.25">
      <c r="A82" s="3" t="s">
        <v>202</v>
      </c>
    </row>
    <row r="83" spans="1:1" x14ac:dyDescent="0.25">
      <c r="A83" s="20" t="s">
        <v>203</v>
      </c>
    </row>
    <row r="84" spans="1:1" x14ac:dyDescent="0.25">
      <c r="A84" s="20" t="s">
        <v>204</v>
      </c>
    </row>
    <row r="85" spans="1:1" x14ac:dyDescent="0.25">
      <c r="A85" s="20" t="s">
        <v>205</v>
      </c>
    </row>
    <row r="86" spans="1:1" x14ac:dyDescent="0.25">
      <c r="A86" s="20"/>
    </row>
    <row r="87" spans="1:1" x14ac:dyDescent="0.25">
      <c r="A87" s="20"/>
    </row>
  </sheetData>
  <sheetProtection algorithmName="SHA-512" hashValue="b+n0yJXuJt4/rkKKhku4jN7yQV0KD76zFRYAXovk8F8vl7SW2myf6bglXLD5i+hexscXQes5cwkobFn0AiUcnQ==" saltValue="h3uV0LKLhyg+T29UlhjI9Q==" spinCount="100000" sheet="1" objects="1" scenarios="1"/>
  <customSheetViews>
    <customSheetView guid="{3FC92738-033B-4B68-8121-D7E87081064C}" showGridLines="0" topLeftCell="A16">
      <selection activeCell="C26" sqref="C26"/>
      <rowBreaks count="1" manualBreakCount="1">
        <brk id="40" max="3" man="1"/>
      </rowBreaks>
      <pageMargins left="0.78740157480314965" right="0.39370078740157483" top="0.51181102362204722" bottom="0.51181102362204722" header="0.11811023622047245" footer="0.11811023622047245"/>
      <pageSetup paperSize="9" scale="85" orientation="portrait" r:id="rId1"/>
      <headerFooter alignWithMargins="0">
        <oddHeader>&amp;LGesundheits- und Fürsorgedirektion, Sozialamt, Rathausgasse 1, 3011 Bern &amp;RSeite &amp;P von &amp;N</oddHeader>
        <oddFooter>&amp;L&amp;A&amp;R&amp;D</oddFooter>
      </headerFooter>
    </customSheetView>
    <customSheetView guid="{E083F7BB-7916-4ABB-BDC7-6042584E3606}" showGridLines="0" topLeftCell="A25">
      <selection activeCell="C35" sqref="C35"/>
      <rowBreaks count="1" manualBreakCount="1">
        <brk id="40" max="3" man="1"/>
      </rowBreaks>
      <pageMargins left="0.78740157480314965" right="0.39370078740157483" top="0.51181102362204722" bottom="0.51181102362204722" header="0.11811023622047245" footer="0.11811023622047245"/>
      <pageSetup paperSize="9" scale="85" orientation="portrait" r:id="rId2"/>
      <headerFooter alignWithMargins="0">
        <oddHeader>&amp;LGesundheits- und Fürsorgedirektion, Sozialamt, Rathausgasse 1, 3011 Bern &amp;RSeite &amp;P von &amp;N</oddHeader>
        <oddFooter>&amp;L&amp;A&amp;R&amp;D</oddFooter>
      </headerFooter>
    </customSheetView>
    <customSheetView guid="{ED1EFE49-5A07-488C-96A3-3B9FD4475C11}" showGridLines="0" topLeftCell="A16">
      <selection activeCell="C26" sqref="C26"/>
      <rowBreaks count="1" manualBreakCount="1">
        <brk id="40" max="3" man="1"/>
      </rowBreaks>
      <pageMargins left="0.78740157480314965" right="0.39370078740157483" top="0.51181102362204722" bottom="0.51181102362204722" header="0.11811023622047245" footer="0.11811023622047245"/>
      <pageSetup paperSize="9" scale="85" orientation="portrait" r:id="rId3"/>
      <headerFooter alignWithMargins="0">
        <oddHeader>&amp;LGesundheits- und Fürsorgedirektion, Sozialamt, Rathausgasse 1, 3011 Bern &amp;RSeite &amp;P von &amp;N</oddHeader>
        <oddFooter>&amp;L&amp;A&amp;R&amp;D</oddFooter>
      </headerFooter>
    </customSheetView>
  </customSheetViews>
  <mergeCells count="34">
    <mergeCell ref="A75:E75"/>
    <mergeCell ref="A68:D70"/>
    <mergeCell ref="A11:D11"/>
    <mergeCell ref="A5:D5"/>
    <mergeCell ref="A6:D6"/>
    <mergeCell ref="C7:D7"/>
    <mergeCell ref="C8:D8"/>
    <mergeCell ref="A10:D10"/>
    <mergeCell ref="C37:D37"/>
    <mergeCell ref="A52:D52"/>
    <mergeCell ref="A53:D53"/>
    <mergeCell ref="A54:D54"/>
    <mergeCell ref="A55:D55"/>
    <mergeCell ref="A56:D56"/>
    <mergeCell ref="A57:D57"/>
    <mergeCell ref="A58:D58"/>
    <mergeCell ref="A63:D65"/>
    <mergeCell ref="A41:D41"/>
    <mergeCell ref="A42:D42"/>
    <mergeCell ref="A43:D43"/>
    <mergeCell ref="A44:D44"/>
    <mergeCell ref="A45:D45"/>
    <mergeCell ref="A46:D46"/>
    <mergeCell ref="A47:D47"/>
    <mergeCell ref="A48:D48"/>
    <mergeCell ref="A49:D49"/>
    <mergeCell ref="A50:D50"/>
    <mergeCell ref="A51:D51"/>
    <mergeCell ref="C3:D3"/>
    <mergeCell ref="A40:D40"/>
    <mergeCell ref="A59:D59"/>
    <mergeCell ref="A60:D60"/>
    <mergeCell ref="A35:A36"/>
    <mergeCell ref="C36:D36"/>
  </mergeCells>
  <pageMargins left="0.78740157480314965" right="0.39370078740157483" top="0.51181102362204722" bottom="0.51181102362204722" header="0.11811023622047245" footer="0.11811023622047245"/>
  <pageSetup paperSize="9" scale="82" orientation="portrait" r:id="rId4"/>
  <headerFooter alignWithMargins="0">
    <oddHeader>&amp;LFormulaire de révision (décompte et contrôle) &amp;R &amp;P / &amp;N</oddHeader>
    <oddFooter>&amp;L&amp;A&amp;R&amp;D</oddFooter>
  </headerFooter>
  <rowBreaks count="1" manualBreakCount="1">
    <brk id="38"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M80"/>
  <sheetViews>
    <sheetView zoomScaleNormal="100" workbookViewId="0">
      <selection activeCell="B7" sqref="B7:D7"/>
    </sheetView>
  </sheetViews>
  <sheetFormatPr baseColWidth="10" defaultColWidth="11.44140625" defaultRowHeight="13.2" x14ac:dyDescent="0.25"/>
  <cols>
    <col min="1" max="1" width="26.5546875" style="88" customWidth="1"/>
    <col min="2" max="2" width="9.88671875" style="139" customWidth="1"/>
    <col min="3" max="3" width="9.5546875" style="139" customWidth="1"/>
    <col min="4" max="4" width="12.109375" style="20" customWidth="1"/>
    <col min="5" max="5" width="12.5546875" style="20" customWidth="1"/>
    <col min="6" max="6" width="13.44140625" style="20" customWidth="1"/>
    <col min="7" max="10" width="13.5546875" style="20" customWidth="1"/>
    <col min="11" max="16384" width="11.44140625" style="20"/>
  </cols>
  <sheetData>
    <row r="1" spans="1:13" ht="15.6" x14ac:dyDescent="0.3">
      <c r="A1" s="172" t="s">
        <v>206</v>
      </c>
      <c r="I1" s="23"/>
      <c r="J1" s="23" t="s">
        <v>207</v>
      </c>
    </row>
    <row r="2" spans="1:13" ht="12.75" customHeight="1" x14ac:dyDescent="0.25">
      <c r="A2" s="39"/>
      <c r="I2" s="86"/>
      <c r="J2" s="86"/>
    </row>
    <row r="3" spans="1:13" x14ac:dyDescent="0.25">
      <c r="A3" s="155" t="s">
        <v>553</v>
      </c>
    </row>
    <row r="4" spans="1:13" x14ac:dyDescent="0.25">
      <c r="A4" s="155"/>
      <c r="I4" s="86"/>
      <c r="J4" s="86"/>
    </row>
    <row r="5" spans="1:13" x14ac:dyDescent="0.25">
      <c r="A5" s="39" t="s">
        <v>139</v>
      </c>
      <c r="B5" s="499">
        <v>2024</v>
      </c>
      <c r="C5" s="500"/>
      <c r="D5" s="500"/>
      <c r="F5" s="3"/>
      <c r="G5" s="3"/>
      <c r="H5" s="3"/>
    </row>
    <row r="6" spans="1:13" x14ac:dyDescent="0.25">
      <c r="A6" s="39" t="s">
        <v>140</v>
      </c>
      <c r="B6" s="501">
        <f>'1 Récapitulation'!E10</f>
        <v>0</v>
      </c>
      <c r="C6" s="500"/>
      <c r="D6" s="500"/>
      <c r="F6" s="3"/>
      <c r="G6" s="3"/>
      <c r="H6" s="3"/>
    </row>
    <row r="7" spans="1:13" x14ac:dyDescent="0.25">
      <c r="A7" s="39" t="s">
        <v>141</v>
      </c>
      <c r="B7" s="502"/>
      <c r="C7" s="502"/>
      <c r="D7" s="502"/>
      <c r="F7" s="3"/>
      <c r="G7" s="3"/>
      <c r="H7" s="3"/>
    </row>
    <row r="8" spans="1:13" ht="13.8" thickBot="1" x14ac:dyDescent="0.3"/>
    <row r="9" spans="1:13" ht="24" customHeight="1" x14ac:dyDescent="0.25">
      <c r="A9" s="503" t="s">
        <v>208</v>
      </c>
      <c r="B9" s="507" t="s">
        <v>209</v>
      </c>
      <c r="C9" s="505" t="s">
        <v>210</v>
      </c>
      <c r="D9" s="140" t="s">
        <v>211</v>
      </c>
      <c r="E9" s="141" t="s">
        <v>212</v>
      </c>
      <c r="F9" s="496" t="s">
        <v>155</v>
      </c>
      <c r="G9" s="497"/>
      <c r="H9" s="497"/>
      <c r="I9" s="497"/>
      <c r="J9" s="498"/>
    </row>
    <row r="10" spans="1:13" ht="92.25" customHeight="1" x14ac:dyDescent="0.25">
      <c r="A10" s="504"/>
      <c r="B10" s="508"/>
      <c r="C10" s="506"/>
      <c r="D10" s="142" t="s">
        <v>5</v>
      </c>
      <c r="E10" s="143" t="s">
        <v>5</v>
      </c>
      <c r="F10" s="341" t="s">
        <v>151</v>
      </c>
      <c r="G10" s="341" t="s">
        <v>152</v>
      </c>
      <c r="H10" s="341" t="s">
        <v>213</v>
      </c>
      <c r="I10" s="341" t="s">
        <v>214</v>
      </c>
      <c r="J10" s="400" t="s">
        <v>412</v>
      </c>
      <c r="M10" s="144"/>
    </row>
    <row r="11" spans="1:13" x14ac:dyDescent="0.25">
      <c r="A11" s="156"/>
      <c r="B11" s="146"/>
      <c r="C11" s="147"/>
      <c r="D11" s="148"/>
      <c r="E11" s="149"/>
      <c r="F11" s="150"/>
      <c r="G11" s="145"/>
      <c r="H11" s="145"/>
      <c r="I11" s="145"/>
      <c r="J11" s="188" t="s">
        <v>215</v>
      </c>
    </row>
    <row r="12" spans="1:13" x14ac:dyDescent="0.25">
      <c r="A12" s="157"/>
      <c r="B12" s="154"/>
      <c r="C12" s="151"/>
      <c r="E12" s="152"/>
      <c r="F12" s="153"/>
      <c r="G12" s="100"/>
      <c r="H12" s="100"/>
      <c r="I12" s="100"/>
      <c r="J12" s="100"/>
    </row>
    <row r="13" spans="1:13" x14ac:dyDescent="0.25">
      <c r="A13" s="157"/>
      <c r="B13" s="154"/>
      <c r="C13" s="151"/>
      <c r="E13" s="152"/>
      <c r="F13" s="153"/>
      <c r="G13" s="100"/>
      <c r="H13" s="100"/>
      <c r="I13" s="100"/>
      <c r="J13" s="100"/>
    </row>
    <row r="14" spans="1:13" x14ac:dyDescent="0.25">
      <c r="A14" s="157"/>
      <c r="B14" s="154"/>
      <c r="C14" s="151"/>
      <c r="E14" s="152"/>
      <c r="F14" s="153"/>
      <c r="G14" s="100"/>
      <c r="H14" s="100"/>
      <c r="I14" s="100"/>
      <c r="J14" s="100"/>
    </row>
    <row r="15" spans="1:13" x14ac:dyDescent="0.25">
      <c r="A15" s="157"/>
      <c r="B15" s="154"/>
      <c r="C15" s="151"/>
      <c r="E15" s="152"/>
      <c r="F15" s="153"/>
      <c r="G15" s="100"/>
      <c r="H15" s="100"/>
      <c r="I15" s="100"/>
      <c r="J15" s="100"/>
    </row>
    <row r="16" spans="1:13" x14ac:dyDescent="0.25">
      <c r="A16" s="157"/>
      <c r="B16" s="154"/>
      <c r="C16" s="151"/>
      <c r="E16" s="152"/>
      <c r="F16" s="153"/>
      <c r="G16" s="100"/>
      <c r="H16" s="100"/>
      <c r="I16" s="100"/>
      <c r="J16" s="100"/>
    </row>
    <row r="17" spans="1:10" x14ac:dyDescent="0.25">
      <c r="A17" s="157"/>
      <c r="B17" s="154"/>
      <c r="C17" s="151"/>
      <c r="E17" s="152"/>
      <c r="F17" s="153"/>
      <c r="G17" s="100"/>
      <c r="H17" s="100"/>
      <c r="I17" s="100"/>
      <c r="J17" s="100"/>
    </row>
    <row r="18" spans="1:10" x14ac:dyDescent="0.25">
      <c r="A18" s="157"/>
      <c r="B18" s="154"/>
      <c r="C18" s="151"/>
      <c r="E18" s="152"/>
      <c r="F18" s="153"/>
      <c r="G18" s="100"/>
      <c r="H18" s="100"/>
      <c r="I18" s="100"/>
      <c r="J18" s="100"/>
    </row>
    <row r="19" spans="1:10" x14ac:dyDescent="0.25">
      <c r="A19" s="157"/>
      <c r="B19" s="154"/>
      <c r="C19" s="151"/>
      <c r="E19" s="152"/>
      <c r="F19" s="153"/>
      <c r="G19" s="100"/>
      <c r="H19" s="100"/>
      <c r="I19" s="100"/>
      <c r="J19" s="100"/>
    </row>
    <row r="20" spans="1:10" x14ac:dyDescent="0.25">
      <c r="A20" s="157"/>
      <c r="B20" s="154"/>
      <c r="C20" s="151"/>
      <c r="E20" s="152"/>
      <c r="F20" s="153"/>
      <c r="G20" s="100"/>
      <c r="H20" s="100"/>
      <c r="I20" s="100"/>
      <c r="J20" s="100"/>
    </row>
    <row r="21" spans="1:10" x14ac:dyDescent="0.25">
      <c r="A21" s="157"/>
      <c r="B21" s="154"/>
      <c r="C21" s="151"/>
      <c r="E21" s="152"/>
      <c r="F21" s="153"/>
      <c r="G21" s="100"/>
      <c r="H21" s="100"/>
      <c r="I21" s="100"/>
      <c r="J21" s="100"/>
    </row>
    <row r="22" spans="1:10" x14ac:dyDescent="0.25">
      <c r="A22" s="157"/>
      <c r="B22" s="154"/>
      <c r="C22" s="151"/>
      <c r="E22" s="152"/>
      <c r="F22" s="153"/>
      <c r="G22" s="100"/>
      <c r="H22" s="100"/>
      <c r="I22" s="100"/>
      <c r="J22" s="100"/>
    </row>
    <row r="23" spans="1:10" x14ac:dyDescent="0.25">
      <c r="A23" s="157"/>
      <c r="B23" s="154"/>
      <c r="C23" s="151"/>
      <c r="E23" s="152"/>
      <c r="F23" s="153"/>
      <c r="G23" s="100"/>
      <c r="H23" s="100"/>
      <c r="I23" s="100"/>
      <c r="J23" s="100"/>
    </row>
    <row r="24" spans="1:10" x14ac:dyDescent="0.25">
      <c r="A24" s="157"/>
      <c r="B24" s="154"/>
      <c r="C24" s="151"/>
      <c r="E24" s="152"/>
      <c r="F24" s="153"/>
      <c r="G24" s="100"/>
      <c r="H24" s="100"/>
      <c r="I24" s="100"/>
      <c r="J24" s="100"/>
    </row>
    <row r="25" spans="1:10" x14ac:dyDescent="0.25">
      <c r="A25" s="157"/>
      <c r="B25" s="154"/>
      <c r="C25" s="151"/>
      <c r="E25" s="152"/>
      <c r="F25" s="153"/>
      <c r="G25" s="100"/>
      <c r="H25" s="100"/>
      <c r="I25" s="100"/>
      <c r="J25" s="100"/>
    </row>
    <row r="26" spans="1:10" x14ac:dyDescent="0.25">
      <c r="A26" s="157"/>
      <c r="B26" s="154"/>
      <c r="C26" s="151"/>
      <c r="E26" s="152"/>
      <c r="F26" s="153"/>
      <c r="G26" s="100"/>
      <c r="H26" s="100"/>
      <c r="I26" s="100"/>
      <c r="J26" s="100"/>
    </row>
    <row r="27" spans="1:10" x14ac:dyDescent="0.25">
      <c r="A27" s="157"/>
      <c r="B27" s="154"/>
      <c r="C27" s="151"/>
      <c r="E27" s="152"/>
      <c r="F27" s="153"/>
      <c r="G27" s="100"/>
      <c r="H27" s="100"/>
      <c r="I27" s="100"/>
      <c r="J27" s="100"/>
    </row>
    <row r="28" spans="1:10" x14ac:dyDescent="0.25">
      <c r="A28" s="157"/>
      <c r="B28" s="154"/>
      <c r="C28" s="151"/>
      <c r="E28" s="152"/>
      <c r="F28" s="153"/>
      <c r="G28" s="100"/>
      <c r="H28" s="100"/>
      <c r="I28" s="100"/>
      <c r="J28" s="100"/>
    </row>
    <row r="29" spans="1:10" x14ac:dyDescent="0.25">
      <c r="A29" s="157"/>
      <c r="B29" s="154"/>
      <c r="C29" s="151"/>
      <c r="E29" s="152"/>
      <c r="F29" s="153"/>
      <c r="G29" s="100"/>
      <c r="H29" s="100"/>
      <c r="I29" s="100"/>
      <c r="J29" s="100"/>
    </row>
    <row r="30" spans="1:10" x14ac:dyDescent="0.25">
      <c r="A30" s="157"/>
      <c r="B30" s="154"/>
      <c r="C30" s="151"/>
      <c r="E30" s="152"/>
      <c r="F30" s="153"/>
      <c r="G30" s="100"/>
      <c r="H30" s="100"/>
      <c r="I30" s="100"/>
      <c r="J30" s="100"/>
    </row>
    <row r="31" spans="1:10" x14ac:dyDescent="0.25">
      <c r="A31" s="157"/>
      <c r="B31" s="154"/>
      <c r="C31" s="151"/>
      <c r="E31" s="152"/>
      <c r="F31" s="153"/>
      <c r="G31" s="100"/>
      <c r="H31" s="100"/>
      <c r="I31" s="100"/>
      <c r="J31" s="100"/>
    </row>
    <row r="32" spans="1:10" x14ac:dyDescent="0.25">
      <c r="A32" s="157"/>
      <c r="B32" s="154"/>
      <c r="C32" s="151"/>
      <c r="E32" s="152"/>
      <c r="F32" s="153"/>
      <c r="G32" s="100"/>
      <c r="H32" s="100"/>
      <c r="I32" s="100"/>
      <c r="J32" s="100"/>
    </row>
    <row r="33" spans="1:10" x14ac:dyDescent="0.25">
      <c r="A33" s="157"/>
      <c r="B33" s="154"/>
      <c r="C33" s="151"/>
      <c r="E33" s="152"/>
      <c r="F33" s="153"/>
      <c r="G33" s="100"/>
      <c r="H33" s="100"/>
      <c r="I33" s="100"/>
      <c r="J33" s="100"/>
    </row>
    <row r="34" spans="1:10" x14ac:dyDescent="0.25">
      <c r="A34" s="157"/>
      <c r="B34" s="154"/>
      <c r="C34" s="151"/>
      <c r="E34" s="152"/>
      <c r="F34" s="153"/>
      <c r="G34" s="100"/>
      <c r="H34" s="100"/>
      <c r="I34" s="100"/>
      <c r="J34" s="100"/>
    </row>
    <row r="35" spans="1:10" x14ac:dyDescent="0.25">
      <c r="A35" s="157"/>
      <c r="B35" s="154"/>
      <c r="C35" s="151"/>
      <c r="E35" s="152"/>
      <c r="F35" s="153"/>
      <c r="G35" s="100"/>
      <c r="H35" s="100"/>
      <c r="I35" s="100"/>
      <c r="J35" s="100"/>
    </row>
    <row r="36" spans="1:10" x14ac:dyDescent="0.25">
      <c r="A36" s="157"/>
      <c r="B36" s="154"/>
      <c r="C36" s="151"/>
      <c r="E36" s="152"/>
      <c r="F36" s="153"/>
      <c r="G36" s="100"/>
      <c r="H36" s="100"/>
      <c r="I36" s="100"/>
      <c r="J36" s="100"/>
    </row>
    <row r="37" spans="1:10" x14ac:dyDescent="0.25">
      <c r="A37" s="157"/>
      <c r="B37" s="154"/>
      <c r="C37" s="151"/>
      <c r="E37" s="152"/>
      <c r="F37" s="153"/>
      <c r="G37" s="100"/>
      <c r="H37" s="100"/>
      <c r="I37" s="100"/>
      <c r="J37" s="100"/>
    </row>
    <row r="38" spans="1:10" x14ac:dyDescent="0.25">
      <c r="A38" s="157"/>
      <c r="B38" s="154"/>
      <c r="C38" s="151"/>
      <c r="E38" s="152"/>
      <c r="F38" s="153"/>
      <c r="G38" s="100"/>
      <c r="H38" s="100"/>
      <c r="I38" s="100"/>
      <c r="J38" s="100"/>
    </row>
    <row r="39" spans="1:10" x14ac:dyDescent="0.25">
      <c r="A39" s="157"/>
      <c r="B39" s="154"/>
      <c r="C39" s="151"/>
      <c r="E39" s="152"/>
      <c r="F39" s="153"/>
      <c r="G39" s="100"/>
      <c r="H39" s="100"/>
      <c r="I39" s="100"/>
      <c r="J39" s="100"/>
    </row>
    <row r="40" spans="1:10" x14ac:dyDescent="0.25">
      <c r="A40" s="157"/>
      <c r="B40" s="154"/>
      <c r="C40" s="151"/>
      <c r="E40" s="152"/>
      <c r="F40" s="153"/>
      <c r="G40" s="100"/>
      <c r="H40" s="100"/>
      <c r="I40" s="100"/>
      <c r="J40" s="100"/>
    </row>
    <row r="41" spans="1:10" x14ac:dyDescent="0.25">
      <c r="A41" s="157"/>
      <c r="B41" s="154"/>
      <c r="C41" s="151"/>
      <c r="E41" s="152"/>
      <c r="F41" s="153"/>
      <c r="G41" s="100"/>
      <c r="H41" s="100"/>
      <c r="I41" s="100"/>
      <c r="J41" s="100"/>
    </row>
    <row r="42" spans="1:10" x14ac:dyDescent="0.25">
      <c r="A42" s="157"/>
      <c r="B42" s="154"/>
      <c r="C42" s="151"/>
      <c r="E42" s="152"/>
      <c r="F42" s="153"/>
      <c r="G42" s="100"/>
      <c r="H42" s="100"/>
      <c r="I42" s="100"/>
      <c r="J42" s="100"/>
    </row>
    <row r="43" spans="1:10" x14ac:dyDescent="0.25">
      <c r="A43" s="157"/>
      <c r="B43" s="154"/>
      <c r="C43" s="151"/>
      <c r="E43" s="152"/>
      <c r="F43" s="153"/>
      <c r="G43" s="100"/>
      <c r="H43" s="100"/>
      <c r="I43" s="100"/>
      <c r="J43" s="100"/>
    </row>
    <row r="44" spans="1:10" x14ac:dyDescent="0.25">
      <c r="A44" s="157"/>
      <c r="B44" s="154"/>
      <c r="C44" s="151"/>
      <c r="E44" s="152"/>
      <c r="F44" s="153"/>
      <c r="G44" s="100"/>
      <c r="H44" s="100"/>
      <c r="I44" s="100"/>
      <c r="J44" s="100"/>
    </row>
    <row r="45" spans="1:10" x14ac:dyDescent="0.25">
      <c r="A45" s="157"/>
      <c r="B45" s="154"/>
      <c r="C45" s="151"/>
      <c r="E45" s="152"/>
      <c r="F45" s="153"/>
      <c r="G45" s="100"/>
      <c r="H45" s="100"/>
      <c r="I45" s="100"/>
      <c r="J45" s="100"/>
    </row>
    <row r="46" spans="1:10" x14ac:dyDescent="0.25">
      <c r="A46" s="157"/>
      <c r="B46" s="154"/>
      <c r="C46" s="151"/>
      <c r="E46" s="152"/>
      <c r="F46" s="153"/>
      <c r="G46" s="100"/>
      <c r="H46" s="100"/>
      <c r="I46" s="100"/>
      <c r="J46" s="100"/>
    </row>
    <row r="47" spans="1:10" x14ac:dyDescent="0.25">
      <c r="A47" s="157"/>
      <c r="B47" s="154"/>
      <c r="C47" s="151"/>
      <c r="E47" s="152"/>
      <c r="F47" s="153"/>
      <c r="G47" s="100"/>
      <c r="H47" s="100"/>
      <c r="I47" s="100"/>
      <c r="J47" s="100"/>
    </row>
    <row r="48" spans="1:10" x14ac:dyDescent="0.25">
      <c r="A48" s="157"/>
      <c r="B48" s="154"/>
      <c r="C48" s="151"/>
      <c r="E48" s="152"/>
      <c r="F48" s="153"/>
      <c r="G48" s="100"/>
      <c r="H48" s="100"/>
      <c r="I48" s="100"/>
      <c r="J48" s="100"/>
    </row>
    <row r="49" spans="1:10" x14ac:dyDescent="0.25">
      <c r="A49" s="157"/>
      <c r="B49" s="154"/>
      <c r="C49" s="151"/>
      <c r="E49" s="152"/>
      <c r="F49" s="153"/>
      <c r="G49" s="100"/>
      <c r="H49" s="100"/>
      <c r="I49" s="100"/>
      <c r="J49" s="100"/>
    </row>
    <row r="50" spans="1:10" x14ac:dyDescent="0.25">
      <c r="A50" s="157"/>
      <c r="B50" s="154"/>
      <c r="C50" s="151"/>
      <c r="E50" s="152"/>
      <c r="F50" s="153"/>
      <c r="G50" s="100"/>
      <c r="H50" s="100"/>
      <c r="I50" s="100"/>
      <c r="J50" s="100"/>
    </row>
    <row r="51" spans="1:10" x14ac:dyDescent="0.25">
      <c r="A51" s="157"/>
      <c r="B51" s="154"/>
      <c r="C51" s="151"/>
      <c r="E51" s="152"/>
      <c r="F51" s="153"/>
      <c r="G51" s="100"/>
      <c r="H51" s="100"/>
      <c r="I51" s="100"/>
      <c r="J51" s="100"/>
    </row>
    <row r="52" spans="1:10" x14ac:dyDescent="0.25">
      <c r="A52" s="157"/>
      <c r="B52" s="154"/>
      <c r="C52" s="151"/>
      <c r="E52" s="152"/>
      <c r="F52" s="153"/>
      <c r="G52" s="100"/>
      <c r="H52" s="100"/>
      <c r="I52" s="100"/>
      <c r="J52" s="100"/>
    </row>
    <row r="53" spans="1:10" x14ac:dyDescent="0.25">
      <c r="A53" s="157"/>
      <c r="B53" s="154"/>
      <c r="C53" s="151"/>
      <c r="E53" s="152"/>
      <c r="F53" s="153"/>
      <c r="G53" s="100"/>
      <c r="H53" s="100"/>
      <c r="I53" s="100"/>
      <c r="J53" s="100"/>
    </row>
    <row r="54" spans="1:10" x14ac:dyDescent="0.25">
      <c r="A54" s="157"/>
      <c r="B54" s="154"/>
      <c r="C54" s="151"/>
      <c r="E54" s="152"/>
      <c r="F54" s="153"/>
      <c r="G54" s="100"/>
      <c r="H54" s="100"/>
      <c r="I54" s="100"/>
      <c r="J54" s="100"/>
    </row>
    <row r="55" spans="1:10" x14ac:dyDescent="0.25">
      <c r="A55" s="157"/>
      <c r="B55" s="154"/>
      <c r="C55" s="151"/>
      <c r="E55" s="152"/>
      <c r="F55" s="153"/>
      <c r="G55" s="100"/>
      <c r="H55" s="100"/>
      <c r="I55" s="100"/>
      <c r="J55" s="100"/>
    </row>
    <row r="56" spans="1:10" x14ac:dyDescent="0.25">
      <c r="A56" s="157"/>
      <c r="B56" s="154"/>
      <c r="C56" s="151"/>
      <c r="E56" s="152"/>
      <c r="F56" s="153"/>
      <c r="G56" s="100"/>
      <c r="H56" s="100"/>
      <c r="I56" s="100"/>
      <c r="J56" s="100"/>
    </row>
    <row r="57" spans="1:10" x14ac:dyDescent="0.25">
      <c r="A57" s="157"/>
      <c r="B57" s="154"/>
      <c r="C57" s="151"/>
      <c r="E57" s="152"/>
      <c r="F57" s="153"/>
      <c r="G57" s="100"/>
      <c r="H57" s="100"/>
      <c r="I57" s="100"/>
      <c r="J57" s="100"/>
    </row>
    <row r="58" spans="1:10" x14ac:dyDescent="0.25">
      <c r="A58" s="157"/>
      <c r="B58" s="154"/>
      <c r="C58" s="151"/>
      <c r="E58" s="152"/>
      <c r="F58" s="153"/>
      <c r="G58" s="100"/>
      <c r="H58" s="100"/>
      <c r="I58" s="100"/>
      <c r="J58" s="100"/>
    </row>
    <row r="59" spans="1:10" x14ac:dyDescent="0.25">
      <c r="A59" s="157"/>
      <c r="B59" s="154"/>
      <c r="C59" s="151"/>
      <c r="E59" s="152"/>
      <c r="F59" s="153"/>
      <c r="G59" s="100"/>
      <c r="H59" s="100"/>
      <c r="I59" s="100"/>
      <c r="J59" s="100"/>
    </row>
    <row r="60" spans="1:10" x14ac:dyDescent="0.25">
      <c r="A60" s="157"/>
      <c r="B60" s="154"/>
      <c r="C60" s="151"/>
      <c r="E60" s="152"/>
      <c r="F60" s="153"/>
      <c r="G60" s="100"/>
      <c r="H60" s="100"/>
      <c r="I60" s="100"/>
      <c r="J60" s="100"/>
    </row>
    <row r="61" spans="1:10" x14ac:dyDescent="0.25">
      <c r="A61" s="157"/>
      <c r="B61" s="154"/>
      <c r="C61" s="151"/>
      <c r="E61" s="152"/>
      <c r="F61" s="153"/>
      <c r="G61" s="100"/>
      <c r="H61" s="100"/>
      <c r="I61" s="100"/>
      <c r="J61" s="100"/>
    </row>
    <row r="62" spans="1:10" x14ac:dyDescent="0.25">
      <c r="A62" s="157"/>
      <c r="B62" s="154"/>
      <c r="C62" s="151"/>
      <c r="E62" s="152"/>
      <c r="F62" s="153"/>
      <c r="G62" s="100"/>
      <c r="H62" s="100"/>
      <c r="I62" s="100"/>
      <c r="J62" s="100"/>
    </row>
    <row r="63" spans="1:10" x14ac:dyDescent="0.25">
      <c r="A63" s="157"/>
      <c r="B63" s="154"/>
      <c r="C63" s="151"/>
      <c r="E63" s="152"/>
      <c r="F63" s="153"/>
      <c r="G63" s="100"/>
      <c r="H63" s="100"/>
      <c r="I63" s="100"/>
      <c r="J63" s="100"/>
    </row>
    <row r="64" spans="1:10" x14ac:dyDescent="0.25">
      <c r="A64" s="157"/>
      <c r="B64" s="154"/>
      <c r="C64" s="151"/>
      <c r="E64" s="152"/>
      <c r="F64" s="153"/>
      <c r="G64" s="100"/>
      <c r="H64" s="100"/>
      <c r="I64" s="100"/>
      <c r="J64" s="100"/>
    </row>
    <row r="65" spans="1:10" x14ac:dyDescent="0.25">
      <c r="A65" s="157"/>
      <c r="B65" s="154"/>
      <c r="C65" s="151"/>
      <c r="E65" s="152"/>
      <c r="F65" s="153"/>
      <c r="G65" s="100"/>
      <c r="H65" s="100"/>
      <c r="I65" s="100"/>
      <c r="J65" s="100"/>
    </row>
    <row r="66" spans="1:10" x14ac:dyDescent="0.25">
      <c r="A66" s="157"/>
      <c r="B66" s="154"/>
      <c r="C66" s="151"/>
      <c r="E66" s="152"/>
      <c r="F66" s="153"/>
      <c r="G66" s="100"/>
      <c r="H66" s="100"/>
      <c r="I66" s="100"/>
      <c r="J66" s="100"/>
    </row>
    <row r="67" spans="1:10" x14ac:dyDescent="0.25">
      <c r="A67" s="157"/>
      <c r="B67" s="154"/>
      <c r="C67" s="151"/>
      <c r="E67" s="152"/>
      <c r="F67" s="153"/>
      <c r="G67" s="100"/>
      <c r="H67" s="100"/>
      <c r="I67" s="100"/>
      <c r="J67" s="100"/>
    </row>
    <row r="68" spans="1:10" x14ac:dyDescent="0.25">
      <c r="A68" s="157"/>
      <c r="B68" s="154"/>
      <c r="C68" s="151"/>
      <c r="E68" s="152"/>
      <c r="F68" s="153"/>
      <c r="G68" s="100"/>
      <c r="H68" s="100"/>
      <c r="I68" s="100"/>
      <c r="J68" s="100"/>
    </row>
    <row r="69" spans="1:10" x14ac:dyDescent="0.25">
      <c r="A69" s="157"/>
      <c r="B69" s="154"/>
      <c r="C69" s="151"/>
      <c r="E69" s="152"/>
      <c r="F69" s="153"/>
      <c r="G69" s="100"/>
      <c r="H69" s="100"/>
      <c r="I69" s="100"/>
      <c r="J69" s="100"/>
    </row>
    <row r="70" spans="1:10" x14ac:dyDescent="0.25">
      <c r="A70" s="157"/>
      <c r="B70" s="154"/>
      <c r="C70" s="151"/>
      <c r="E70" s="152"/>
      <c r="F70" s="153"/>
      <c r="G70" s="100"/>
      <c r="H70" s="100"/>
      <c r="I70" s="100"/>
      <c r="J70" s="100"/>
    </row>
    <row r="71" spans="1:10" x14ac:dyDescent="0.25">
      <c r="A71" s="157"/>
      <c r="B71" s="154"/>
      <c r="C71" s="151"/>
      <c r="E71" s="152"/>
      <c r="F71" s="153"/>
      <c r="G71" s="100"/>
      <c r="H71" s="100"/>
      <c r="I71" s="100"/>
      <c r="J71" s="100"/>
    </row>
    <row r="72" spans="1:10" x14ac:dyDescent="0.25">
      <c r="A72" s="157"/>
      <c r="B72" s="154"/>
      <c r="C72" s="151"/>
      <c r="E72" s="152"/>
      <c r="F72" s="153"/>
      <c r="G72" s="100"/>
      <c r="H72" s="100"/>
      <c r="I72" s="100"/>
      <c r="J72" s="100"/>
    </row>
    <row r="73" spans="1:10" x14ac:dyDescent="0.25">
      <c r="A73" s="157"/>
      <c r="B73" s="154"/>
      <c r="C73" s="151"/>
      <c r="E73" s="152"/>
      <c r="F73" s="153"/>
      <c r="G73" s="100"/>
      <c r="H73" s="100"/>
      <c r="I73" s="100"/>
      <c r="J73" s="100"/>
    </row>
    <row r="74" spans="1:10" x14ac:dyDescent="0.25">
      <c r="A74" s="157"/>
      <c r="B74" s="154"/>
      <c r="C74" s="151"/>
      <c r="E74" s="152"/>
      <c r="F74" s="153"/>
      <c r="G74" s="100"/>
      <c r="H74" s="100"/>
      <c r="I74" s="100"/>
      <c r="J74" s="100"/>
    </row>
    <row r="75" spans="1:10" x14ac:dyDescent="0.25">
      <c r="A75" s="157"/>
      <c r="B75" s="154"/>
      <c r="C75" s="151"/>
      <c r="E75" s="152"/>
      <c r="F75" s="153"/>
      <c r="G75" s="100"/>
      <c r="H75" s="100"/>
      <c r="I75" s="100"/>
      <c r="J75" s="100"/>
    </row>
    <row r="76" spans="1:10" x14ac:dyDescent="0.25">
      <c r="A76" s="157"/>
      <c r="B76" s="154"/>
      <c r="C76" s="151"/>
      <c r="E76" s="152"/>
      <c r="F76" s="153"/>
      <c r="G76" s="100"/>
      <c r="H76" s="100"/>
      <c r="I76" s="100"/>
      <c r="J76" s="100"/>
    </row>
    <row r="77" spans="1:10" x14ac:dyDescent="0.25">
      <c r="A77" s="165"/>
      <c r="B77" s="166"/>
      <c r="C77" s="167"/>
      <c r="D77" s="168"/>
      <c r="E77" s="169"/>
      <c r="F77" s="170"/>
      <c r="G77" s="171"/>
      <c r="H77" s="171"/>
      <c r="I77" s="171"/>
      <c r="J77" s="171"/>
    </row>
    <row r="78" spans="1:10" ht="36" customHeight="1" x14ac:dyDescent="0.25">
      <c r="A78" s="160" t="s">
        <v>1</v>
      </c>
      <c r="B78" s="161">
        <f>SUM(B11:B77)</f>
        <v>0</v>
      </c>
      <c r="C78" s="161">
        <f t="shared" ref="C78:J78" si="0">SUM(C11:C77)</f>
        <v>0</v>
      </c>
      <c r="D78" s="162">
        <f t="shared" si="0"/>
        <v>0</v>
      </c>
      <c r="E78" s="163">
        <f>SUM(F78:J78)</f>
        <v>0</v>
      </c>
      <c r="F78" s="158">
        <f t="shared" si="0"/>
        <v>0</v>
      </c>
      <c r="G78" s="164">
        <f t="shared" si="0"/>
        <v>0</v>
      </c>
      <c r="H78" s="164">
        <f t="shared" si="0"/>
        <v>0</v>
      </c>
      <c r="I78" s="159">
        <f t="shared" si="0"/>
        <v>0</v>
      </c>
      <c r="J78" s="159">
        <f t="shared" si="0"/>
        <v>0</v>
      </c>
    </row>
    <row r="80" spans="1:10" x14ac:dyDescent="0.25">
      <c r="A80" s="88" t="s">
        <v>417</v>
      </c>
    </row>
  </sheetData>
  <sheetProtection selectLockedCells="1"/>
  <customSheetViews>
    <customSheetView guid="{3FC92738-033B-4B68-8121-D7E87081064C}">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1"/>
      <headerFooter alignWithMargins="0">
        <oddHeader>&amp;RSeite &amp;P von &amp;N</oddHeader>
        <oddFooter>&amp;L&amp;A&amp;R&amp;D</oddFooter>
      </headerFooter>
    </customSheetView>
    <customSheetView guid="{E083F7BB-7916-4ABB-BDC7-6042584E3606}">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2"/>
      <headerFooter alignWithMargins="0">
        <oddHeader>&amp;RSeite &amp;P von &amp;N</oddHeader>
        <oddFooter>&amp;L&amp;A&amp;R&amp;D</oddFooter>
      </headerFooter>
    </customSheetView>
    <customSheetView guid="{ED1EFE49-5A07-488C-96A3-3B9FD4475C11}">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3"/>
      <headerFooter alignWithMargins="0">
        <oddHeader>&amp;RSeite &amp;P von &amp;N</oddHeader>
        <oddFooter>&amp;L&amp;A&amp;R&amp;D</oddFooter>
      </headerFooter>
    </customSheetView>
  </customSheetViews>
  <mergeCells count="7">
    <mergeCell ref="F9:J9"/>
    <mergeCell ref="B5:D5"/>
    <mergeCell ref="B6:D6"/>
    <mergeCell ref="B7:D7"/>
    <mergeCell ref="A9:A10"/>
    <mergeCell ref="C9:C10"/>
    <mergeCell ref="B9:B10"/>
  </mergeCells>
  <phoneticPr fontId="7" type="noConversion"/>
  <pageMargins left="0.78740157480314965" right="0.39370078740157483" top="0.39370078740157483" bottom="0.39370078740157483" header="0.11811023622047245" footer="0.11811023622047245"/>
  <pageSetup paperSize="9" scale="66" orientation="portrait" r:id="rId4"/>
  <headerFooter alignWithMargins="0">
    <oddHeader>&amp;R &amp;P / &amp;N</oddHeader>
    <oddFooter>&amp;L&amp;A&amp;R&amp;D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00"/>
  </sheetPr>
  <dimension ref="A1:L58"/>
  <sheetViews>
    <sheetView zoomScaleNormal="100" workbookViewId="0">
      <selection activeCell="D12" sqref="D12:E12"/>
    </sheetView>
  </sheetViews>
  <sheetFormatPr baseColWidth="10" defaultColWidth="11.44140625" defaultRowHeight="13.2" x14ac:dyDescent="0.25"/>
  <cols>
    <col min="1" max="1" width="7.88671875" style="9" customWidth="1"/>
    <col min="2" max="2" width="18.44140625" style="9" customWidth="1"/>
    <col min="3" max="4" width="9.88671875" style="48" customWidth="1"/>
    <col min="5" max="5" width="15.88671875" style="9" customWidth="1"/>
    <col min="6" max="12" width="16.5546875" style="9" customWidth="1"/>
    <col min="13" max="16384" width="11.44140625" style="9"/>
  </cols>
  <sheetData>
    <row r="1" spans="1:12" ht="15" customHeight="1" x14ac:dyDescent="0.3">
      <c r="A1" s="1" t="s">
        <v>216</v>
      </c>
      <c r="B1" s="47"/>
      <c r="L1" s="23" t="s">
        <v>220</v>
      </c>
    </row>
    <row r="2" spans="1:12" ht="15" customHeight="1" x14ac:dyDescent="0.25">
      <c r="A2" s="47" t="s">
        <v>217</v>
      </c>
      <c r="B2" s="47"/>
      <c r="K2" s="86"/>
      <c r="L2" s="86"/>
    </row>
    <row r="3" spans="1:12" ht="15" customHeight="1" x14ac:dyDescent="0.25">
      <c r="A3" s="20"/>
      <c r="B3" s="47"/>
    </row>
    <row r="4" spans="1:12" ht="15" customHeight="1" x14ac:dyDescent="0.25">
      <c r="A4" s="47" t="s">
        <v>218</v>
      </c>
      <c r="B4" s="47"/>
      <c r="K4" s="49"/>
      <c r="L4" s="49"/>
    </row>
    <row r="5" spans="1:12" ht="15" customHeight="1" x14ac:dyDescent="0.25">
      <c r="A5" s="47" t="s">
        <v>219</v>
      </c>
      <c r="B5" s="47"/>
      <c r="K5" s="49"/>
      <c r="L5" s="49"/>
    </row>
    <row r="6" spans="1:12" ht="15" customHeight="1" x14ac:dyDescent="0.25">
      <c r="A6" s="47"/>
      <c r="B6" s="47"/>
      <c r="K6" s="49"/>
      <c r="L6" s="49"/>
    </row>
    <row r="7" spans="1:12" ht="15" customHeight="1" x14ac:dyDescent="0.25">
      <c r="A7" s="47"/>
      <c r="B7" s="47"/>
      <c r="K7" s="49"/>
      <c r="L7" s="49"/>
    </row>
    <row r="8" spans="1:12" ht="15" customHeight="1" x14ac:dyDescent="0.25">
      <c r="A8" s="47"/>
      <c r="B8" s="47"/>
      <c r="K8" s="49"/>
      <c r="L8" s="49"/>
    </row>
    <row r="9" spans="1:12" ht="15" customHeight="1" x14ac:dyDescent="0.25">
      <c r="A9" s="47"/>
      <c r="B9" s="47"/>
      <c r="K9" s="49"/>
      <c r="L9" s="49"/>
    </row>
    <row r="10" spans="1:12" ht="15" customHeight="1" x14ac:dyDescent="0.25">
      <c r="A10" s="3" t="s">
        <v>139</v>
      </c>
      <c r="D10" s="481">
        <v>2024</v>
      </c>
      <c r="E10" s="509"/>
      <c r="F10"/>
    </row>
    <row r="11" spans="1:12" ht="15" customHeight="1" x14ac:dyDescent="0.25">
      <c r="A11" s="3" t="s">
        <v>221</v>
      </c>
      <c r="D11" s="492">
        <f>'1 Récapitulation'!E10</f>
        <v>0</v>
      </c>
      <c r="E11" s="510"/>
      <c r="F11"/>
    </row>
    <row r="12" spans="1:12" ht="15" customHeight="1" x14ac:dyDescent="0.25">
      <c r="A12" s="3" t="s">
        <v>222</v>
      </c>
      <c r="D12" s="511"/>
      <c r="E12" s="512"/>
      <c r="F12"/>
    </row>
    <row r="13" spans="1:12" ht="15" customHeight="1" x14ac:dyDescent="0.25">
      <c r="C13" s="40"/>
      <c r="J13" s="191"/>
    </row>
    <row r="14" spans="1:12" s="103" customFormat="1" ht="177.75" customHeight="1" x14ac:dyDescent="0.25">
      <c r="A14" s="4" t="s">
        <v>223</v>
      </c>
      <c r="B14" s="4" t="s">
        <v>224</v>
      </c>
      <c r="C14" s="102" t="s">
        <v>225</v>
      </c>
      <c r="D14" s="102" t="s">
        <v>226</v>
      </c>
      <c r="E14" s="4" t="s">
        <v>227</v>
      </c>
      <c r="F14" s="4" t="s">
        <v>228</v>
      </c>
      <c r="G14" s="4" t="s">
        <v>229</v>
      </c>
      <c r="H14" s="4" t="s">
        <v>230</v>
      </c>
      <c r="I14" s="4" t="s">
        <v>231</v>
      </c>
      <c r="J14" s="190" t="s">
        <v>232</v>
      </c>
      <c r="K14" s="4" t="s">
        <v>406</v>
      </c>
      <c r="L14" s="4" t="s">
        <v>407</v>
      </c>
    </row>
    <row r="15" spans="1:12" ht="15" customHeight="1" x14ac:dyDescent="0.25">
      <c r="A15" s="194">
        <f>D11</f>
        <v>0</v>
      </c>
      <c r="B15" s="195">
        <f>D12</f>
        <v>0</v>
      </c>
      <c r="C15" s="513"/>
      <c r="D15" s="514"/>
      <c r="E15" s="514"/>
      <c r="F15" s="514"/>
      <c r="G15" s="514"/>
      <c r="H15" s="514"/>
      <c r="I15" s="515"/>
      <c r="J15" s="98"/>
      <c r="K15" s="321">
        <f>SUM(F15:J15)</f>
        <v>0</v>
      </c>
      <c r="L15" s="321">
        <f>E15-K15</f>
        <v>0</v>
      </c>
    </row>
    <row r="16" spans="1:12" ht="15" customHeight="1" x14ac:dyDescent="0.25">
      <c r="A16" s="416"/>
      <c r="B16" s="417"/>
      <c r="C16" s="238"/>
      <c r="D16" s="238"/>
      <c r="E16" s="239"/>
      <c r="F16" s="239"/>
      <c r="G16" s="239"/>
      <c r="H16" s="239"/>
      <c r="I16" s="239"/>
      <c r="J16" s="299"/>
      <c r="K16" s="321">
        <f t="shared" ref="K16:K54" si="0">SUM(F16:J16)</f>
        <v>0</v>
      </c>
      <c r="L16" s="321">
        <f t="shared" ref="L16:L54" si="1">E16-K16</f>
        <v>0</v>
      </c>
    </row>
    <row r="17" spans="1:12" ht="15" customHeight="1" x14ac:dyDescent="0.25">
      <c r="A17" s="90"/>
      <c r="B17" s="98"/>
      <c r="C17" s="240"/>
      <c r="D17" s="240"/>
      <c r="E17" s="319"/>
      <c r="F17" s="319"/>
      <c r="G17" s="319"/>
      <c r="H17" s="319"/>
      <c r="I17" s="319"/>
      <c r="J17" s="299"/>
      <c r="K17" s="321">
        <f t="shared" si="0"/>
        <v>0</v>
      </c>
      <c r="L17" s="321">
        <f t="shared" si="1"/>
        <v>0</v>
      </c>
    </row>
    <row r="18" spans="1:12" ht="15" customHeight="1" x14ac:dyDescent="0.25">
      <c r="A18" s="91"/>
      <c r="B18" s="104"/>
      <c r="C18" s="238"/>
      <c r="D18" s="238"/>
      <c r="E18" s="239"/>
      <c r="F18" s="239"/>
      <c r="G18" s="239"/>
      <c r="H18" s="239"/>
      <c r="I18" s="239"/>
      <c r="J18" s="299"/>
      <c r="K18" s="321">
        <f t="shared" si="0"/>
        <v>0</v>
      </c>
      <c r="L18" s="321">
        <f t="shared" si="1"/>
        <v>0</v>
      </c>
    </row>
    <row r="19" spans="1:12" ht="15" customHeight="1" x14ac:dyDescent="0.25">
      <c r="A19" s="90"/>
      <c r="B19" s="98"/>
      <c r="C19" s="240"/>
      <c r="D19" s="240"/>
      <c r="E19" s="319"/>
      <c r="F19" s="319"/>
      <c r="G19" s="319"/>
      <c r="H19" s="319"/>
      <c r="I19" s="319"/>
      <c r="J19" s="299"/>
      <c r="K19" s="321">
        <f t="shared" si="0"/>
        <v>0</v>
      </c>
      <c r="L19" s="321">
        <f t="shared" si="1"/>
        <v>0</v>
      </c>
    </row>
    <row r="20" spans="1:12" ht="15" customHeight="1" x14ac:dyDescent="0.25">
      <c r="A20" s="91"/>
      <c r="B20" s="104"/>
      <c r="C20" s="238"/>
      <c r="D20" s="238"/>
      <c r="E20" s="239"/>
      <c r="F20" s="239"/>
      <c r="G20" s="239"/>
      <c r="H20" s="239"/>
      <c r="I20" s="239"/>
      <c r="J20" s="299"/>
      <c r="K20" s="321">
        <f t="shared" si="0"/>
        <v>0</v>
      </c>
      <c r="L20" s="321">
        <f t="shared" si="1"/>
        <v>0</v>
      </c>
    </row>
    <row r="21" spans="1:12" ht="15" customHeight="1" x14ac:dyDescent="0.25">
      <c r="A21" s="90"/>
      <c r="B21" s="98"/>
      <c r="C21" s="240"/>
      <c r="D21" s="240"/>
      <c r="E21" s="319"/>
      <c r="F21" s="319"/>
      <c r="G21" s="319"/>
      <c r="H21" s="319"/>
      <c r="I21" s="319"/>
      <c r="J21" s="299"/>
      <c r="K21" s="321">
        <f t="shared" si="0"/>
        <v>0</v>
      </c>
      <c r="L21" s="321">
        <f t="shared" si="1"/>
        <v>0</v>
      </c>
    </row>
    <row r="22" spans="1:12" ht="15" customHeight="1" x14ac:dyDescent="0.25">
      <c r="A22" s="91"/>
      <c r="B22" s="104"/>
      <c r="C22" s="238"/>
      <c r="D22" s="238"/>
      <c r="E22" s="239"/>
      <c r="F22" s="239"/>
      <c r="G22" s="239"/>
      <c r="H22" s="239"/>
      <c r="I22" s="239"/>
      <c r="J22" s="299"/>
      <c r="K22" s="321">
        <f t="shared" si="0"/>
        <v>0</v>
      </c>
      <c r="L22" s="321">
        <f t="shared" si="1"/>
        <v>0</v>
      </c>
    </row>
    <row r="23" spans="1:12" ht="15" customHeight="1" x14ac:dyDescent="0.25">
      <c r="A23" s="90"/>
      <c r="B23" s="98"/>
      <c r="C23" s="240"/>
      <c r="D23" s="240"/>
      <c r="E23" s="319"/>
      <c r="F23" s="319"/>
      <c r="G23" s="319"/>
      <c r="H23" s="319"/>
      <c r="I23" s="319"/>
      <c r="J23" s="299"/>
      <c r="K23" s="321">
        <f t="shared" si="0"/>
        <v>0</v>
      </c>
      <c r="L23" s="321">
        <f t="shared" si="1"/>
        <v>0</v>
      </c>
    </row>
    <row r="24" spans="1:12" ht="15" customHeight="1" x14ac:dyDescent="0.25">
      <c r="A24" s="91"/>
      <c r="B24" s="104"/>
      <c r="C24" s="238"/>
      <c r="D24" s="238"/>
      <c r="E24" s="239"/>
      <c r="F24" s="239"/>
      <c r="G24" s="239"/>
      <c r="H24" s="239"/>
      <c r="I24" s="239"/>
      <c r="J24" s="299"/>
      <c r="K24" s="321">
        <f t="shared" si="0"/>
        <v>0</v>
      </c>
      <c r="L24" s="321">
        <f t="shared" si="1"/>
        <v>0</v>
      </c>
    </row>
    <row r="25" spans="1:12" ht="15" customHeight="1" x14ac:dyDescent="0.25">
      <c r="A25" s="90"/>
      <c r="B25" s="98"/>
      <c r="C25" s="240"/>
      <c r="D25" s="240"/>
      <c r="E25" s="319"/>
      <c r="F25" s="319"/>
      <c r="G25" s="319"/>
      <c r="H25" s="319"/>
      <c r="I25" s="319"/>
      <c r="J25" s="299"/>
      <c r="K25" s="321">
        <f t="shared" si="0"/>
        <v>0</v>
      </c>
      <c r="L25" s="321">
        <f t="shared" si="1"/>
        <v>0</v>
      </c>
    </row>
    <row r="26" spans="1:12" ht="15" customHeight="1" x14ac:dyDescent="0.25">
      <c r="A26" s="91"/>
      <c r="B26" s="104"/>
      <c r="C26" s="238"/>
      <c r="D26" s="238"/>
      <c r="E26" s="239"/>
      <c r="F26" s="239"/>
      <c r="G26" s="239"/>
      <c r="H26" s="239"/>
      <c r="I26" s="239"/>
      <c r="J26" s="299"/>
      <c r="K26" s="321">
        <f t="shared" si="0"/>
        <v>0</v>
      </c>
      <c r="L26" s="321">
        <f t="shared" si="1"/>
        <v>0</v>
      </c>
    </row>
    <row r="27" spans="1:12" ht="15" customHeight="1" x14ac:dyDescent="0.25">
      <c r="A27" s="90"/>
      <c r="B27" s="98"/>
      <c r="C27" s="240"/>
      <c r="D27" s="240"/>
      <c r="E27" s="319"/>
      <c r="F27" s="319"/>
      <c r="G27" s="319"/>
      <c r="H27" s="319"/>
      <c r="I27" s="319"/>
      <c r="J27" s="299"/>
      <c r="K27" s="321">
        <f t="shared" si="0"/>
        <v>0</v>
      </c>
      <c r="L27" s="321">
        <f t="shared" si="1"/>
        <v>0</v>
      </c>
    </row>
    <row r="28" spans="1:12" ht="15" customHeight="1" x14ac:dyDescent="0.25">
      <c r="A28" s="91"/>
      <c r="B28" s="104"/>
      <c r="C28" s="238"/>
      <c r="D28" s="238"/>
      <c r="E28" s="239"/>
      <c r="F28" s="239"/>
      <c r="G28" s="239"/>
      <c r="H28" s="239"/>
      <c r="I28" s="239"/>
      <c r="J28" s="299"/>
      <c r="K28" s="321">
        <f t="shared" si="0"/>
        <v>0</v>
      </c>
      <c r="L28" s="321">
        <f t="shared" si="1"/>
        <v>0</v>
      </c>
    </row>
    <row r="29" spans="1:12" ht="15" customHeight="1" x14ac:dyDescent="0.25">
      <c r="A29" s="90"/>
      <c r="B29" s="98"/>
      <c r="C29" s="240"/>
      <c r="D29" s="240"/>
      <c r="E29" s="319"/>
      <c r="F29" s="319"/>
      <c r="G29" s="319"/>
      <c r="H29" s="319"/>
      <c r="I29" s="319"/>
      <c r="J29" s="299"/>
      <c r="K29" s="321">
        <f t="shared" si="0"/>
        <v>0</v>
      </c>
      <c r="L29" s="321">
        <f t="shared" si="1"/>
        <v>0</v>
      </c>
    </row>
    <row r="30" spans="1:12" ht="15" customHeight="1" x14ac:dyDescent="0.25">
      <c r="A30" s="91"/>
      <c r="B30" s="104"/>
      <c r="C30" s="238"/>
      <c r="D30" s="238"/>
      <c r="E30" s="239"/>
      <c r="F30" s="239"/>
      <c r="G30" s="239"/>
      <c r="H30" s="239"/>
      <c r="I30" s="239"/>
      <c r="J30" s="299"/>
      <c r="K30" s="321">
        <f t="shared" si="0"/>
        <v>0</v>
      </c>
      <c r="L30" s="321">
        <f t="shared" si="1"/>
        <v>0</v>
      </c>
    </row>
    <row r="31" spans="1:12" ht="15" customHeight="1" x14ac:dyDescent="0.25">
      <c r="A31" s="90"/>
      <c r="B31" s="98"/>
      <c r="C31" s="240"/>
      <c r="D31" s="240"/>
      <c r="E31" s="319"/>
      <c r="F31" s="319"/>
      <c r="G31" s="319"/>
      <c r="H31" s="319"/>
      <c r="I31" s="319"/>
      <c r="J31" s="299"/>
      <c r="K31" s="321">
        <f t="shared" si="0"/>
        <v>0</v>
      </c>
      <c r="L31" s="321">
        <f t="shared" si="1"/>
        <v>0</v>
      </c>
    </row>
    <row r="32" spans="1:12" ht="15" customHeight="1" x14ac:dyDescent="0.25">
      <c r="A32" s="91"/>
      <c r="B32" s="104"/>
      <c r="C32" s="238"/>
      <c r="D32" s="238"/>
      <c r="E32" s="239"/>
      <c r="F32" s="239"/>
      <c r="G32" s="239"/>
      <c r="H32" s="239"/>
      <c r="I32" s="239"/>
      <c r="J32" s="299"/>
      <c r="K32" s="321">
        <f t="shared" si="0"/>
        <v>0</v>
      </c>
      <c r="L32" s="321">
        <f t="shared" si="1"/>
        <v>0</v>
      </c>
    </row>
    <row r="33" spans="1:12" ht="15" customHeight="1" x14ac:dyDescent="0.25">
      <c r="A33" s="90"/>
      <c r="B33" s="98"/>
      <c r="C33" s="240"/>
      <c r="D33" s="240"/>
      <c r="E33" s="319"/>
      <c r="F33" s="319"/>
      <c r="G33" s="319"/>
      <c r="H33" s="319"/>
      <c r="I33" s="319"/>
      <c r="J33" s="299"/>
      <c r="K33" s="321">
        <f t="shared" si="0"/>
        <v>0</v>
      </c>
      <c r="L33" s="321">
        <f t="shared" si="1"/>
        <v>0</v>
      </c>
    </row>
    <row r="34" spans="1:12" ht="15" customHeight="1" x14ac:dyDescent="0.25">
      <c r="A34" s="91"/>
      <c r="B34" s="104"/>
      <c r="C34" s="238"/>
      <c r="D34" s="238"/>
      <c r="E34" s="239"/>
      <c r="F34" s="239"/>
      <c r="G34" s="239"/>
      <c r="H34" s="239"/>
      <c r="I34" s="239"/>
      <c r="J34" s="299"/>
      <c r="K34" s="321">
        <f t="shared" si="0"/>
        <v>0</v>
      </c>
      <c r="L34" s="321">
        <f t="shared" si="1"/>
        <v>0</v>
      </c>
    </row>
    <row r="35" spans="1:12" ht="15" customHeight="1" x14ac:dyDescent="0.25">
      <c r="A35" s="90"/>
      <c r="B35" s="98"/>
      <c r="C35" s="240"/>
      <c r="D35" s="240"/>
      <c r="E35" s="319"/>
      <c r="F35" s="319"/>
      <c r="G35" s="319"/>
      <c r="H35" s="319"/>
      <c r="I35" s="319"/>
      <c r="J35" s="299"/>
      <c r="K35" s="321">
        <f t="shared" si="0"/>
        <v>0</v>
      </c>
      <c r="L35" s="321">
        <f t="shared" si="1"/>
        <v>0</v>
      </c>
    </row>
    <row r="36" spans="1:12" ht="15" customHeight="1" x14ac:dyDescent="0.25">
      <c r="A36" s="91"/>
      <c r="B36" s="104"/>
      <c r="C36" s="238"/>
      <c r="D36" s="238"/>
      <c r="E36" s="239"/>
      <c r="F36" s="239"/>
      <c r="G36" s="239"/>
      <c r="H36" s="239"/>
      <c r="I36" s="239"/>
      <c r="J36" s="299"/>
      <c r="K36" s="321">
        <f t="shared" si="0"/>
        <v>0</v>
      </c>
      <c r="L36" s="321">
        <f t="shared" si="1"/>
        <v>0</v>
      </c>
    </row>
    <row r="37" spans="1:12" ht="15" customHeight="1" x14ac:dyDescent="0.25">
      <c r="A37" s="90"/>
      <c r="B37" s="98"/>
      <c r="C37" s="240"/>
      <c r="D37" s="240"/>
      <c r="E37" s="319"/>
      <c r="F37" s="319"/>
      <c r="G37" s="319"/>
      <c r="H37" s="319"/>
      <c r="I37" s="319"/>
      <c r="J37" s="299"/>
      <c r="K37" s="321">
        <f t="shared" si="0"/>
        <v>0</v>
      </c>
      <c r="L37" s="321">
        <f t="shared" si="1"/>
        <v>0</v>
      </c>
    </row>
    <row r="38" spans="1:12" ht="15" customHeight="1" x14ac:dyDescent="0.25">
      <c r="A38" s="91"/>
      <c r="B38" s="104"/>
      <c r="C38" s="238"/>
      <c r="D38" s="238"/>
      <c r="E38" s="239"/>
      <c r="F38" s="239"/>
      <c r="G38" s="239"/>
      <c r="H38" s="239"/>
      <c r="I38" s="239"/>
      <c r="J38" s="299"/>
      <c r="K38" s="321">
        <f t="shared" si="0"/>
        <v>0</v>
      </c>
      <c r="L38" s="321">
        <f t="shared" si="1"/>
        <v>0</v>
      </c>
    </row>
    <row r="39" spans="1:12" ht="15" customHeight="1" x14ac:dyDescent="0.25">
      <c r="A39" s="90"/>
      <c r="B39" s="98"/>
      <c r="C39" s="240"/>
      <c r="D39" s="240"/>
      <c r="E39" s="319"/>
      <c r="F39" s="319"/>
      <c r="G39" s="319"/>
      <c r="H39" s="319"/>
      <c r="I39" s="319"/>
      <c r="J39" s="299"/>
      <c r="K39" s="321">
        <f t="shared" si="0"/>
        <v>0</v>
      </c>
      <c r="L39" s="321">
        <f t="shared" si="1"/>
        <v>0</v>
      </c>
    </row>
    <row r="40" spans="1:12" ht="15" customHeight="1" x14ac:dyDescent="0.25">
      <c r="A40" s="91"/>
      <c r="B40" s="104"/>
      <c r="C40" s="238"/>
      <c r="D40" s="238"/>
      <c r="E40" s="239"/>
      <c r="F40" s="239"/>
      <c r="G40" s="239"/>
      <c r="H40" s="239"/>
      <c r="I40" s="239"/>
      <c r="J40" s="299"/>
      <c r="K40" s="321">
        <f t="shared" si="0"/>
        <v>0</v>
      </c>
      <c r="L40" s="321">
        <f t="shared" si="1"/>
        <v>0</v>
      </c>
    </row>
    <row r="41" spans="1:12" ht="15" customHeight="1" x14ac:dyDescent="0.25">
      <c r="A41" s="90"/>
      <c r="B41" s="98"/>
      <c r="C41" s="240"/>
      <c r="D41" s="240"/>
      <c r="E41" s="319"/>
      <c r="F41" s="319"/>
      <c r="G41" s="319"/>
      <c r="H41" s="319"/>
      <c r="I41" s="319"/>
      <c r="J41" s="299"/>
      <c r="K41" s="321">
        <f t="shared" si="0"/>
        <v>0</v>
      </c>
      <c r="L41" s="321">
        <f t="shared" si="1"/>
        <v>0</v>
      </c>
    </row>
    <row r="42" spans="1:12" ht="15" customHeight="1" x14ac:dyDescent="0.25">
      <c r="A42" s="91"/>
      <c r="B42" s="104"/>
      <c r="C42" s="238"/>
      <c r="D42" s="238"/>
      <c r="E42" s="239"/>
      <c r="F42" s="239"/>
      <c r="G42" s="239"/>
      <c r="H42" s="239"/>
      <c r="I42" s="239"/>
      <c r="J42" s="299"/>
      <c r="K42" s="321">
        <f t="shared" si="0"/>
        <v>0</v>
      </c>
      <c r="L42" s="321">
        <f t="shared" si="1"/>
        <v>0</v>
      </c>
    </row>
    <row r="43" spans="1:12" ht="15" customHeight="1" x14ac:dyDescent="0.25">
      <c r="A43" s="90"/>
      <c r="B43" s="98"/>
      <c r="C43" s="240"/>
      <c r="D43" s="240"/>
      <c r="E43" s="319"/>
      <c r="F43" s="319"/>
      <c r="G43" s="319"/>
      <c r="H43" s="319"/>
      <c r="I43" s="319"/>
      <c r="J43" s="299"/>
      <c r="K43" s="321">
        <f t="shared" si="0"/>
        <v>0</v>
      </c>
      <c r="L43" s="321">
        <f t="shared" si="1"/>
        <v>0</v>
      </c>
    </row>
    <row r="44" spans="1:12" ht="15" customHeight="1" x14ac:dyDescent="0.25">
      <c r="A44" s="91"/>
      <c r="B44" s="104"/>
      <c r="C44" s="238"/>
      <c r="D44" s="238"/>
      <c r="E44" s="239"/>
      <c r="F44" s="239"/>
      <c r="G44" s="239"/>
      <c r="H44" s="239"/>
      <c r="I44" s="239"/>
      <c r="J44" s="299"/>
      <c r="K44" s="321">
        <f t="shared" si="0"/>
        <v>0</v>
      </c>
      <c r="L44" s="321">
        <f t="shared" si="1"/>
        <v>0</v>
      </c>
    </row>
    <row r="45" spans="1:12" ht="15" customHeight="1" x14ac:dyDescent="0.25">
      <c r="A45" s="90"/>
      <c r="B45" s="98"/>
      <c r="C45" s="240"/>
      <c r="D45" s="240"/>
      <c r="E45" s="319"/>
      <c r="F45" s="319"/>
      <c r="G45" s="319"/>
      <c r="H45" s="319"/>
      <c r="I45" s="319"/>
      <c r="J45" s="299"/>
      <c r="K45" s="321">
        <f t="shared" si="0"/>
        <v>0</v>
      </c>
      <c r="L45" s="321">
        <f t="shared" si="1"/>
        <v>0</v>
      </c>
    </row>
    <row r="46" spans="1:12" ht="15" customHeight="1" x14ac:dyDescent="0.25">
      <c r="A46" s="91"/>
      <c r="B46" s="104"/>
      <c r="C46" s="238"/>
      <c r="D46" s="238"/>
      <c r="E46" s="239"/>
      <c r="F46" s="239"/>
      <c r="G46" s="239"/>
      <c r="H46" s="239"/>
      <c r="I46" s="239"/>
      <c r="J46" s="299"/>
      <c r="K46" s="321">
        <f t="shared" si="0"/>
        <v>0</v>
      </c>
      <c r="L46" s="321">
        <f t="shared" si="1"/>
        <v>0</v>
      </c>
    </row>
    <row r="47" spans="1:12" ht="15" customHeight="1" x14ac:dyDescent="0.25">
      <c r="A47" s="90"/>
      <c r="B47" s="98"/>
      <c r="C47" s="240"/>
      <c r="D47" s="240"/>
      <c r="E47" s="319"/>
      <c r="F47" s="319"/>
      <c r="G47" s="319"/>
      <c r="H47" s="319"/>
      <c r="I47" s="319"/>
      <c r="J47" s="299"/>
      <c r="K47" s="321">
        <f t="shared" si="0"/>
        <v>0</v>
      </c>
      <c r="L47" s="321">
        <f t="shared" si="1"/>
        <v>0</v>
      </c>
    </row>
    <row r="48" spans="1:12" ht="15" customHeight="1" x14ac:dyDescent="0.25">
      <c r="A48" s="91"/>
      <c r="B48" s="104"/>
      <c r="C48" s="238"/>
      <c r="D48" s="238"/>
      <c r="E48" s="239"/>
      <c r="F48" s="239"/>
      <c r="G48" s="239"/>
      <c r="H48" s="239"/>
      <c r="I48" s="239"/>
      <c r="J48" s="299"/>
      <c r="K48" s="321">
        <f t="shared" si="0"/>
        <v>0</v>
      </c>
      <c r="L48" s="321">
        <f t="shared" si="1"/>
        <v>0</v>
      </c>
    </row>
    <row r="49" spans="1:12" ht="15" customHeight="1" x14ac:dyDescent="0.25">
      <c r="A49" s="90"/>
      <c r="B49" s="98"/>
      <c r="C49" s="240"/>
      <c r="D49" s="240"/>
      <c r="E49" s="319"/>
      <c r="F49" s="319"/>
      <c r="G49" s="319"/>
      <c r="H49" s="319"/>
      <c r="I49" s="319"/>
      <c r="J49" s="299"/>
      <c r="K49" s="321">
        <f t="shared" si="0"/>
        <v>0</v>
      </c>
      <c r="L49" s="321">
        <f t="shared" si="1"/>
        <v>0</v>
      </c>
    </row>
    <row r="50" spans="1:12" ht="15" customHeight="1" x14ac:dyDescent="0.25">
      <c r="A50" s="91"/>
      <c r="B50" s="104"/>
      <c r="C50" s="238"/>
      <c r="D50" s="238"/>
      <c r="E50" s="239"/>
      <c r="F50" s="239"/>
      <c r="G50" s="239"/>
      <c r="H50" s="239"/>
      <c r="I50" s="239"/>
      <c r="J50" s="299"/>
      <c r="K50" s="321">
        <f t="shared" si="0"/>
        <v>0</v>
      </c>
      <c r="L50" s="321">
        <f t="shared" si="1"/>
        <v>0</v>
      </c>
    </row>
    <row r="51" spans="1:12" ht="15" customHeight="1" x14ac:dyDescent="0.25">
      <c r="A51" s="90"/>
      <c r="B51" s="98"/>
      <c r="C51" s="240"/>
      <c r="D51" s="240"/>
      <c r="E51" s="319"/>
      <c r="F51" s="319"/>
      <c r="G51" s="319"/>
      <c r="H51" s="319"/>
      <c r="I51" s="319"/>
      <c r="J51" s="299"/>
      <c r="K51" s="321">
        <f t="shared" si="0"/>
        <v>0</v>
      </c>
      <c r="L51" s="321">
        <f t="shared" si="1"/>
        <v>0</v>
      </c>
    </row>
    <row r="52" spans="1:12" ht="15" customHeight="1" x14ac:dyDescent="0.25">
      <c r="A52" s="91"/>
      <c r="B52" s="104"/>
      <c r="C52" s="238"/>
      <c r="D52" s="238"/>
      <c r="E52" s="239"/>
      <c r="F52" s="239"/>
      <c r="G52" s="239"/>
      <c r="H52" s="239"/>
      <c r="I52" s="239"/>
      <c r="J52" s="299"/>
      <c r="K52" s="321">
        <f t="shared" si="0"/>
        <v>0</v>
      </c>
      <c r="L52" s="321">
        <f t="shared" si="1"/>
        <v>0</v>
      </c>
    </row>
    <row r="53" spans="1:12" ht="15" customHeight="1" x14ac:dyDescent="0.25">
      <c r="A53" s="90"/>
      <c r="B53" s="98"/>
      <c r="C53" s="240"/>
      <c r="D53" s="240"/>
      <c r="E53" s="319"/>
      <c r="F53" s="319"/>
      <c r="G53" s="319"/>
      <c r="H53" s="319"/>
      <c r="I53" s="319"/>
      <c r="J53" s="299"/>
      <c r="K53" s="321">
        <f t="shared" si="0"/>
        <v>0</v>
      </c>
      <c r="L53" s="321">
        <f t="shared" si="1"/>
        <v>0</v>
      </c>
    </row>
    <row r="54" spans="1:12" ht="15" customHeight="1" x14ac:dyDescent="0.25">
      <c r="A54" s="416"/>
      <c r="B54" s="417"/>
      <c r="C54" s="238"/>
      <c r="D54" s="238"/>
      <c r="E54" s="239"/>
      <c r="F54" s="239"/>
      <c r="G54" s="239"/>
      <c r="H54" s="239"/>
      <c r="I54" s="239"/>
      <c r="J54" s="300"/>
      <c r="K54" s="321">
        <f t="shared" si="0"/>
        <v>0</v>
      </c>
      <c r="L54" s="321">
        <f t="shared" si="1"/>
        <v>0</v>
      </c>
    </row>
    <row r="55" spans="1:12" s="3" customFormat="1" ht="15" customHeight="1" x14ac:dyDescent="0.25">
      <c r="A55" s="50" t="s">
        <v>1</v>
      </c>
      <c r="B55" s="50"/>
      <c r="C55" s="51">
        <f t="shared" ref="C55:D55" si="2">SUM(C15:C54)</f>
        <v>0</v>
      </c>
      <c r="D55" s="51">
        <f t="shared" si="2"/>
        <v>0</v>
      </c>
      <c r="E55" s="320">
        <f>SUM(E15:E54)</f>
        <v>0</v>
      </c>
      <c r="F55" s="320">
        <f t="shared" ref="F55:L55" si="3">SUM(F15:F54)</f>
        <v>0</v>
      </c>
      <c r="G55" s="320">
        <f t="shared" si="3"/>
        <v>0</v>
      </c>
      <c r="H55" s="320">
        <f t="shared" si="3"/>
        <v>0</v>
      </c>
      <c r="I55" s="320">
        <f t="shared" si="3"/>
        <v>0</v>
      </c>
      <c r="J55" s="320">
        <f t="shared" si="3"/>
        <v>0</v>
      </c>
      <c r="K55" s="320">
        <f t="shared" si="3"/>
        <v>0</v>
      </c>
      <c r="L55" s="320">
        <f t="shared" si="3"/>
        <v>0</v>
      </c>
    </row>
    <row r="57" spans="1:12" x14ac:dyDescent="0.25">
      <c r="A57" s="20" t="s">
        <v>416</v>
      </c>
      <c r="B57" s="48"/>
      <c r="D57" s="9"/>
    </row>
    <row r="58" spans="1:12" x14ac:dyDescent="0.25">
      <c r="B58" s="48"/>
      <c r="D58" s="9"/>
    </row>
  </sheetData>
  <sheetProtection algorithmName="SHA-512" hashValue="RJ/S7t4o31JsShq8Qg7kXF03XWmqJwLwUmBiu+8I0HENZ/P+Zvw7p8BgPIytrmAw2Jkt8KuZt9PylQhr8wVO4A==" saltValue="vH4P4Lu+13dvBlpfG1rgaA==" spinCount="100000" sheet="1" objects="1" scenarios="1"/>
  <customSheetViews>
    <customSheetView guid="{3FC92738-033B-4B68-8121-D7E87081064C}">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1"/>
      <headerFooter alignWithMargins="0">
        <oddHeader>&amp;RSeite &amp;P von &amp;N</oddHeader>
        <oddFooter>&amp;L&amp;A&amp;R&amp;D</oddFooter>
      </headerFooter>
    </customSheetView>
    <customSheetView guid="{E083F7BB-7916-4ABB-BDC7-6042584E3606}">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2"/>
      <headerFooter alignWithMargins="0">
        <oddHeader>&amp;RSeite &amp;P von &amp;N</oddHeader>
        <oddFooter>&amp;L&amp;A&amp;R&amp;D</oddFooter>
      </headerFooter>
    </customSheetView>
    <customSheetView guid="{ED1EFE49-5A07-488C-96A3-3B9FD4475C11}">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3"/>
      <headerFooter alignWithMargins="0">
        <oddHeader>&amp;RSeite &amp;P von &amp;N</oddHeader>
        <oddFooter>&amp;L&amp;A&amp;R&amp;D</oddFooter>
      </headerFooter>
    </customSheetView>
  </customSheetViews>
  <mergeCells count="4">
    <mergeCell ref="D10:E10"/>
    <mergeCell ref="D11:E11"/>
    <mergeCell ref="D12:E12"/>
    <mergeCell ref="C15:I15"/>
  </mergeCells>
  <dataValidations count="1">
    <dataValidation type="whole" allowBlank="1" showInputMessage="1" showErrorMessage="1" prompt="Nur ganze Zahlen eingeben" sqref="C16:D54" xr:uid="{00000000-0002-0000-0500-000000000000}">
      <formula1>1</formula1>
      <formula2>1000000000</formula2>
    </dataValidation>
  </dataValidations>
  <pageMargins left="0.78740157480314965" right="0.39370078740157483" top="0.78740157480314965" bottom="0.78740157480314965" header="0.51181102362204722" footer="0.51181102362204722"/>
  <pageSetup paperSize="9" scale="76" orientation="landscape" r:id="rId4"/>
  <headerFooter alignWithMargins="0">
    <oddHeader>&amp;R &amp;P / &amp;N</oddHeader>
    <oddFooter>&amp;L&amp;A&amp;R&amp;D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zoomScale="110" zoomScaleNormal="110" workbookViewId="0">
      <selection activeCell="B3" sqref="B3"/>
    </sheetView>
  </sheetViews>
  <sheetFormatPr baseColWidth="10" defaultColWidth="11.44140625" defaultRowHeight="13.2" x14ac:dyDescent="0.25"/>
  <cols>
    <col min="1" max="1" width="23" style="346" customWidth="1"/>
    <col min="2" max="2" width="16.44140625" style="346" customWidth="1"/>
    <col min="3" max="3" width="13.5546875" style="346" customWidth="1"/>
    <col min="4" max="4" width="12.5546875" style="346" customWidth="1"/>
    <col min="5" max="5" width="14" style="346" customWidth="1"/>
    <col min="6" max="8" width="12.5546875" style="346" customWidth="1"/>
    <col min="9" max="9" width="38.5546875" style="346" customWidth="1"/>
    <col min="10" max="16384" width="11.44140625" style="346"/>
  </cols>
  <sheetData>
    <row r="1" spans="1:11" ht="15.6" x14ac:dyDescent="0.3">
      <c r="A1" s="345" t="s">
        <v>233</v>
      </c>
      <c r="B1" s="345"/>
      <c r="H1" s="347" t="s">
        <v>234</v>
      </c>
    </row>
    <row r="2" spans="1:11" ht="11.25" customHeight="1" x14ac:dyDescent="0.25"/>
    <row r="3" spans="1:11" x14ac:dyDescent="0.25">
      <c r="A3" s="348" t="s">
        <v>139</v>
      </c>
      <c r="B3" s="349">
        <v>2024</v>
      </c>
      <c r="C3" s="350"/>
      <c r="D3" s="351"/>
      <c r="E3" s="350"/>
      <c r="F3" s="351"/>
      <c r="G3" s="351"/>
      <c r="H3" s="352"/>
      <c r="I3" s="351"/>
    </row>
    <row r="4" spans="1:11" x14ac:dyDescent="0.25">
      <c r="A4" s="348"/>
      <c r="B4" s="353"/>
      <c r="C4" s="350"/>
      <c r="D4" s="351"/>
      <c r="E4" s="350"/>
      <c r="F4" s="351"/>
      <c r="G4" s="351"/>
      <c r="H4" s="352"/>
      <c r="I4" s="351"/>
    </row>
    <row r="5" spans="1:11" x14ac:dyDescent="0.25">
      <c r="A5" s="404" t="s">
        <v>235</v>
      </c>
      <c r="B5" s="353"/>
      <c r="C5" s="350"/>
      <c r="E5" s="350"/>
      <c r="H5" s="352"/>
    </row>
    <row r="6" spans="1:11" x14ac:dyDescent="0.25">
      <c r="A6" s="405" t="s">
        <v>236</v>
      </c>
      <c r="B6" s="353"/>
      <c r="C6" s="350"/>
      <c r="E6" s="350"/>
      <c r="H6" s="352"/>
    </row>
    <row r="7" spans="1:11" ht="6" customHeight="1" x14ac:dyDescent="0.25"/>
    <row r="8" spans="1:11" ht="22.5" customHeight="1" x14ac:dyDescent="0.25">
      <c r="A8" s="521" t="s">
        <v>237</v>
      </c>
      <c r="B8" s="522"/>
      <c r="C8" s="523" t="s">
        <v>155</v>
      </c>
      <c r="D8" s="524"/>
      <c r="E8" s="524"/>
      <c r="F8" s="524"/>
      <c r="G8" s="525"/>
      <c r="H8" s="354" t="s">
        <v>238</v>
      </c>
    </row>
    <row r="9" spans="1:11" s="361" customFormat="1" ht="84" customHeight="1" thickBot="1" x14ac:dyDescent="0.3">
      <c r="A9" s="355" t="s">
        <v>239</v>
      </c>
      <c r="B9" s="356" t="s">
        <v>240</v>
      </c>
      <c r="C9" s="357" t="s">
        <v>241</v>
      </c>
      <c r="D9" s="358" t="s">
        <v>242</v>
      </c>
      <c r="E9" s="358" t="s">
        <v>243</v>
      </c>
      <c r="F9" s="359" t="s">
        <v>244</v>
      </c>
      <c r="G9" s="358" t="s">
        <v>245</v>
      </c>
      <c r="H9" s="360"/>
    </row>
    <row r="10" spans="1:11" ht="47.4" thickTop="1" x14ac:dyDescent="0.25">
      <c r="A10" s="362" t="s">
        <v>246</v>
      </c>
      <c r="B10" s="363" t="s">
        <v>471</v>
      </c>
      <c r="C10" s="364" t="s">
        <v>3</v>
      </c>
      <c r="D10" s="365"/>
      <c r="E10" s="365"/>
      <c r="F10" s="366"/>
      <c r="G10" s="367"/>
      <c r="H10" s="368" t="s">
        <v>247</v>
      </c>
    </row>
    <row r="11" spans="1:11" ht="19.8" x14ac:dyDescent="0.25">
      <c r="A11" s="362" t="s">
        <v>248</v>
      </c>
      <c r="B11" s="363" t="s">
        <v>249</v>
      </c>
      <c r="C11" s="369"/>
      <c r="D11" s="370"/>
      <c r="E11" s="370"/>
      <c r="F11" s="371" t="s">
        <v>3</v>
      </c>
      <c r="G11" s="367"/>
      <c r="H11" s="368" t="s">
        <v>247</v>
      </c>
    </row>
    <row r="12" spans="1:11" ht="62.4" x14ac:dyDescent="0.25">
      <c r="A12" s="372" t="s">
        <v>250</v>
      </c>
      <c r="B12" s="373" t="s">
        <v>251</v>
      </c>
      <c r="C12" s="369"/>
      <c r="D12" s="374" t="s">
        <v>3</v>
      </c>
      <c r="E12" s="370"/>
      <c r="F12" s="375"/>
      <c r="G12" s="376"/>
      <c r="H12" s="368" t="s">
        <v>252</v>
      </c>
      <c r="I12" s="526" t="s">
        <v>253</v>
      </c>
      <c r="J12" s="517"/>
      <c r="K12" s="518"/>
    </row>
    <row r="13" spans="1:11" ht="62.4" x14ac:dyDescent="0.25">
      <c r="A13" s="362" t="s">
        <v>254</v>
      </c>
      <c r="B13" s="363" t="s">
        <v>255</v>
      </c>
      <c r="C13" s="377" t="s">
        <v>3</v>
      </c>
      <c r="D13" s="378" t="s">
        <v>3</v>
      </c>
      <c r="E13" s="370"/>
      <c r="F13" s="375"/>
      <c r="G13" s="376"/>
      <c r="H13" s="368" t="s">
        <v>247</v>
      </c>
    </row>
    <row r="14" spans="1:11" ht="46.8" x14ac:dyDescent="0.25">
      <c r="A14" s="372" t="s">
        <v>256</v>
      </c>
      <c r="B14" s="373" t="s">
        <v>257</v>
      </c>
      <c r="C14" s="369"/>
      <c r="D14" s="374" t="s">
        <v>3</v>
      </c>
      <c r="E14" s="370"/>
      <c r="F14" s="375"/>
      <c r="G14" s="376"/>
      <c r="H14" s="368" t="s">
        <v>252</v>
      </c>
    </row>
    <row r="15" spans="1:11" ht="46.8" x14ac:dyDescent="0.25">
      <c r="A15" s="362" t="s">
        <v>256</v>
      </c>
      <c r="B15" s="379" t="s">
        <v>258</v>
      </c>
      <c r="C15" s="377" t="s">
        <v>3</v>
      </c>
      <c r="D15" s="370"/>
      <c r="E15" s="370"/>
      <c r="F15" s="380"/>
      <c r="G15" s="381"/>
      <c r="H15" s="368" t="s">
        <v>247</v>
      </c>
    </row>
    <row r="16" spans="1:11" ht="46.8" x14ac:dyDescent="0.25">
      <c r="A16" s="372" t="s">
        <v>259</v>
      </c>
      <c r="B16" s="382" t="s">
        <v>257</v>
      </c>
      <c r="C16" s="369"/>
      <c r="D16" s="374" t="s">
        <v>3</v>
      </c>
      <c r="E16" s="370"/>
      <c r="F16" s="375"/>
      <c r="G16" s="376"/>
      <c r="H16" s="368" t="s">
        <v>252</v>
      </c>
    </row>
    <row r="17" spans="1:11" ht="46.8" x14ac:dyDescent="0.25">
      <c r="A17" s="362" t="s">
        <v>259</v>
      </c>
      <c r="B17" s="363" t="s">
        <v>258</v>
      </c>
      <c r="C17" s="377" t="s">
        <v>3</v>
      </c>
      <c r="D17" s="370"/>
      <c r="E17" s="370"/>
      <c r="F17" s="380"/>
      <c r="G17" s="381"/>
      <c r="H17" s="368" t="s">
        <v>247</v>
      </c>
    </row>
    <row r="18" spans="1:11" ht="46.8" x14ac:dyDescent="0.25">
      <c r="A18" s="372" t="s">
        <v>260</v>
      </c>
      <c r="B18" s="382" t="s">
        <v>257</v>
      </c>
      <c r="C18" s="369"/>
      <c r="D18" s="374" t="s">
        <v>3</v>
      </c>
      <c r="E18" s="370"/>
      <c r="F18" s="375"/>
      <c r="G18" s="376"/>
      <c r="H18" s="368" t="s">
        <v>252</v>
      </c>
    </row>
    <row r="19" spans="1:11" ht="46.8" x14ac:dyDescent="0.25">
      <c r="A19" s="362" t="s">
        <v>260</v>
      </c>
      <c r="B19" s="363" t="s">
        <v>258</v>
      </c>
      <c r="C19" s="377" t="s">
        <v>3</v>
      </c>
      <c r="D19" s="370"/>
      <c r="E19" s="370"/>
      <c r="F19" s="380"/>
      <c r="G19" s="381"/>
      <c r="H19" s="368" t="s">
        <v>247</v>
      </c>
    </row>
    <row r="20" spans="1:11" ht="59.4" x14ac:dyDescent="0.25">
      <c r="A20" s="372" t="s">
        <v>261</v>
      </c>
      <c r="B20" s="382" t="s">
        <v>257</v>
      </c>
      <c r="C20" s="369"/>
      <c r="D20" s="374" t="s">
        <v>3</v>
      </c>
      <c r="E20" s="370"/>
      <c r="F20" s="375"/>
      <c r="G20" s="376"/>
      <c r="H20" s="368" t="s">
        <v>252</v>
      </c>
    </row>
    <row r="21" spans="1:11" ht="59.4" x14ac:dyDescent="0.25">
      <c r="A21" s="362" t="s">
        <v>261</v>
      </c>
      <c r="B21" s="379" t="s">
        <v>258</v>
      </c>
      <c r="C21" s="377" t="s">
        <v>3</v>
      </c>
      <c r="D21" s="370"/>
      <c r="E21" s="370"/>
      <c r="F21" s="380"/>
      <c r="G21" s="381"/>
      <c r="H21" s="368" t="s">
        <v>247</v>
      </c>
    </row>
    <row r="22" spans="1:11" ht="46.8" x14ac:dyDescent="0.25">
      <c r="A22" s="372" t="s">
        <v>262</v>
      </c>
      <c r="B22" s="382" t="s">
        <v>257</v>
      </c>
      <c r="C22" s="369"/>
      <c r="D22" s="374" t="s">
        <v>3</v>
      </c>
      <c r="E22" s="370"/>
      <c r="F22" s="375"/>
      <c r="G22" s="376"/>
      <c r="H22" s="368" t="s">
        <v>252</v>
      </c>
    </row>
    <row r="23" spans="1:11" ht="46.8" x14ac:dyDescent="0.25">
      <c r="A23" s="362" t="s">
        <v>262</v>
      </c>
      <c r="B23" s="379" t="s">
        <v>258</v>
      </c>
      <c r="C23" s="377" t="s">
        <v>3</v>
      </c>
      <c r="D23" s="370"/>
      <c r="E23" s="370"/>
      <c r="F23" s="380"/>
      <c r="G23" s="381"/>
      <c r="H23" s="368" t="s">
        <v>247</v>
      </c>
    </row>
    <row r="24" spans="1:11" ht="46.8" x14ac:dyDescent="0.25">
      <c r="A24" s="372" t="s">
        <v>263</v>
      </c>
      <c r="B24" s="382" t="s">
        <v>257</v>
      </c>
      <c r="C24" s="369"/>
      <c r="D24" s="374" t="s">
        <v>4</v>
      </c>
      <c r="E24" s="370"/>
      <c r="F24" s="375"/>
      <c r="G24" s="376"/>
      <c r="H24" s="368" t="s">
        <v>252</v>
      </c>
    </row>
    <row r="25" spans="1:11" ht="46.8" x14ac:dyDescent="0.25">
      <c r="A25" s="362" t="s">
        <v>263</v>
      </c>
      <c r="B25" s="363" t="s">
        <v>258</v>
      </c>
      <c r="C25" s="377" t="s">
        <v>3</v>
      </c>
      <c r="D25" s="370"/>
      <c r="E25" s="370"/>
      <c r="F25" s="380"/>
      <c r="G25" s="381"/>
      <c r="H25" s="368" t="s">
        <v>247</v>
      </c>
    </row>
    <row r="26" spans="1:11" ht="46.8" x14ac:dyDescent="0.25">
      <c r="A26" s="372" t="s">
        <v>264</v>
      </c>
      <c r="B26" s="382" t="s">
        <v>265</v>
      </c>
      <c r="C26" s="369"/>
      <c r="D26" s="374" t="s">
        <v>3</v>
      </c>
      <c r="E26" s="370"/>
      <c r="F26" s="375"/>
      <c r="G26" s="376"/>
      <c r="H26" s="368" t="s">
        <v>252</v>
      </c>
    </row>
    <row r="27" spans="1:11" ht="79.2" x14ac:dyDescent="0.25">
      <c r="A27" s="372" t="s">
        <v>266</v>
      </c>
      <c r="B27" s="373" t="s">
        <v>257</v>
      </c>
      <c r="C27" s="369"/>
      <c r="D27" s="374" t="s">
        <v>15</v>
      </c>
      <c r="E27" s="370"/>
      <c r="F27" s="375"/>
      <c r="G27" s="376"/>
      <c r="H27" s="368" t="s">
        <v>252</v>
      </c>
    </row>
    <row r="28" spans="1:11" ht="62.4" x14ac:dyDescent="0.25">
      <c r="A28" s="383" t="s">
        <v>267</v>
      </c>
      <c r="B28" s="384" t="s">
        <v>251</v>
      </c>
      <c r="C28" s="369"/>
      <c r="D28" s="374" t="s">
        <v>3</v>
      </c>
      <c r="E28" s="370"/>
      <c r="F28" s="375"/>
      <c r="G28" s="385"/>
      <c r="H28" s="386" t="s">
        <v>252</v>
      </c>
      <c r="I28" s="516" t="s">
        <v>268</v>
      </c>
      <c r="J28" s="517"/>
      <c r="K28" s="518"/>
    </row>
    <row r="29" spans="1:11" ht="62.4" x14ac:dyDescent="0.25">
      <c r="A29" s="362" t="s">
        <v>269</v>
      </c>
      <c r="B29" s="379" t="s">
        <v>270</v>
      </c>
      <c r="C29" s="377" t="s">
        <v>3</v>
      </c>
      <c r="D29" s="387"/>
      <c r="E29" s="370"/>
      <c r="F29" s="375"/>
      <c r="G29" s="385"/>
      <c r="H29" s="386" t="s">
        <v>247</v>
      </c>
    </row>
    <row r="30" spans="1:11" ht="46.8" x14ac:dyDescent="0.25">
      <c r="A30" s="362" t="s">
        <v>271</v>
      </c>
      <c r="B30" s="379" t="s">
        <v>471</v>
      </c>
      <c r="C30" s="377" t="s">
        <v>3</v>
      </c>
      <c r="D30" s="370"/>
      <c r="E30" s="370"/>
      <c r="F30" s="380"/>
      <c r="G30" s="381"/>
      <c r="H30" s="368" t="s">
        <v>247</v>
      </c>
    </row>
    <row r="31" spans="1:11" ht="46.8" x14ac:dyDescent="0.25">
      <c r="A31" s="362" t="s">
        <v>272</v>
      </c>
      <c r="B31" s="379" t="s">
        <v>471</v>
      </c>
      <c r="C31" s="377" t="s">
        <v>3</v>
      </c>
      <c r="D31" s="370"/>
      <c r="E31" s="370"/>
      <c r="F31" s="380"/>
      <c r="G31" s="381"/>
      <c r="H31" s="368" t="s">
        <v>247</v>
      </c>
    </row>
    <row r="32" spans="1:11" ht="46.8" x14ac:dyDescent="0.25">
      <c r="A32" s="362" t="s">
        <v>273</v>
      </c>
      <c r="B32" s="379" t="s">
        <v>471</v>
      </c>
      <c r="C32" s="377" t="s">
        <v>3</v>
      </c>
      <c r="D32" s="370"/>
      <c r="E32" s="370"/>
      <c r="F32" s="380"/>
      <c r="G32" s="381"/>
      <c r="H32" s="368" t="s">
        <v>247</v>
      </c>
    </row>
    <row r="33" spans="1:11" ht="46.8" x14ac:dyDescent="0.25">
      <c r="A33" s="362" t="s">
        <v>274</v>
      </c>
      <c r="B33" s="379" t="s">
        <v>471</v>
      </c>
      <c r="C33" s="377" t="s">
        <v>3</v>
      </c>
      <c r="D33" s="370"/>
      <c r="E33" s="370"/>
      <c r="F33" s="380"/>
      <c r="G33" s="381"/>
      <c r="H33" s="368" t="s">
        <v>247</v>
      </c>
    </row>
    <row r="34" spans="1:11" ht="46.8" x14ac:dyDescent="0.25">
      <c r="A34" s="372" t="s">
        <v>275</v>
      </c>
      <c r="B34" s="382" t="s">
        <v>257</v>
      </c>
      <c r="C34" s="369"/>
      <c r="D34" s="374" t="s">
        <v>15</v>
      </c>
      <c r="E34" s="370"/>
      <c r="F34" s="375"/>
      <c r="G34" s="376"/>
      <c r="H34" s="368" t="s">
        <v>252</v>
      </c>
    </row>
    <row r="35" spans="1:11" ht="19.8" x14ac:dyDescent="0.25">
      <c r="A35" s="362" t="s">
        <v>276</v>
      </c>
      <c r="B35" s="363" t="s">
        <v>249</v>
      </c>
      <c r="C35" s="377" t="s">
        <v>3</v>
      </c>
      <c r="D35" s="370"/>
      <c r="E35" s="370"/>
      <c r="F35" s="380"/>
      <c r="G35" s="381"/>
      <c r="H35" s="368" t="s">
        <v>247</v>
      </c>
    </row>
    <row r="36" spans="1:11" ht="46.8" x14ac:dyDescent="0.25">
      <c r="A36" s="362" t="s">
        <v>277</v>
      </c>
      <c r="B36" s="363" t="s">
        <v>471</v>
      </c>
      <c r="C36" s="377" t="s">
        <v>3</v>
      </c>
      <c r="D36" s="370"/>
      <c r="E36" s="370"/>
      <c r="F36" s="380"/>
      <c r="G36" s="381"/>
      <c r="H36" s="368" t="s">
        <v>247</v>
      </c>
    </row>
    <row r="37" spans="1:11" ht="46.8" x14ac:dyDescent="0.25">
      <c r="A37" s="372" t="s">
        <v>278</v>
      </c>
      <c r="B37" s="382" t="s">
        <v>257</v>
      </c>
      <c r="C37" s="369"/>
      <c r="D37" s="374" t="s">
        <v>3</v>
      </c>
      <c r="E37" s="370"/>
      <c r="F37" s="375"/>
      <c r="G37" s="376"/>
      <c r="H37" s="368" t="s">
        <v>252</v>
      </c>
    </row>
    <row r="38" spans="1:11" ht="46.8" x14ac:dyDescent="0.25">
      <c r="A38" s="362" t="s">
        <v>278</v>
      </c>
      <c r="B38" s="363" t="s">
        <v>258</v>
      </c>
      <c r="C38" s="377" t="s">
        <v>3</v>
      </c>
      <c r="D38" s="378"/>
      <c r="E38" s="370"/>
      <c r="F38" s="375"/>
      <c r="G38" s="376"/>
      <c r="H38" s="368" t="s">
        <v>247</v>
      </c>
    </row>
    <row r="39" spans="1:11" ht="62.4" x14ac:dyDescent="0.25">
      <c r="A39" s="372" t="s">
        <v>472</v>
      </c>
      <c r="B39" s="382" t="s">
        <v>251</v>
      </c>
      <c r="C39" s="369"/>
      <c r="D39" s="374" t="s">
        <v>3</v>
      </c>
      <c r="E39" s="370"/>
      <c r="F39" s="375"/>
      <c r="G39" s="376"/>
      <c r="H39" s="368" t="s">
        <v>252</v>
      </c>
      <c r="I39" s="516" t="s">
        <v>253</v>
      </c>
      <c r="J39" s="517"/>
      <c r="K39" s="518"/>
    </row>
    <row r="40" spans="1:11" ht="62.4" x14ac:dyDescent="0.25">
      <c r="A40" s="362" t="s">
        <v>472</v>
      </c>
      <c r="B40" s="363" t="s">
        <v>279</v>
      </c>
      <c r="C40" s="377" t="s">
        <v>3</v>
      </c>
      <c r="D40" s="378"/>
      <c r="E40" s="370"/>
      <c r="F40" s="375"/>
      <c r="G40" s="376"/>
      <c r="H40" s="368" t="s">
        <v>247</v>
      </c>
    </row>
    <row r="41" spans="1:11" ht="106.2" x14ac:dyDescent="0.25">
      <c r="A41" s="372" t="s">
        <v>280</v>
      </c>
      <c r="B41" s="382" t="s">
        <v>251</v>
      </c>
      <c r="C41" s="369"/>
      <c r="D41" s="374" t="s">
        <v>3</v>
      </c>
      <c r="E41" s="370"/>
      <c r="F41" s="375"/>
      <c r="G41" s="376"/>
      <c r="H41" s="368" t="s">
        <v>252</v>
      </c>
      <c r="I41" s="516" t="s">
        <v>253</v>
      </c>
      <c r="J41" s="517"/>
      <c r="K41" s="518"/>
    </row>
    <row r="42" spans="1:11" ht="106.2" x14ac:dyDescent="0.25">
      <c r="A42" s="362" t="s">
        <v>281</v>
      </c>
      <c r="B42" s="363" t="s">
        <v>270</v>
      </c>
      <c r="C42" s="377" t="s">
        <v>3</v>
      </c>
      <c r="D42" s="378"/>
      <c r="E42" s="370"/>
      <c r="F42" s="375"/>
      <c r="G42" s="376"/>
      <c r="H42" s="368" t="s">
        <v>247</v>
      </c>
    </row>
    <row r="43" spans="1:11" ht="59.4" x14ac:dyDescent="0.25">
      <c r="A43" s="383" t="s">
        <v>282</v>
      </c>
      <c r="B43" s="384" t="s">
        <v>283</v>
      </c>
      <c r="C43" s="369"/>
      <c r="D43" s="370"/>
      <c r="E43" s="370"/>
      <c r="F43" s="375"/>
      <c r="G43" s="374" t="s">
        <v>3</v>
      </c>
      <c r="H43" s="368" t="s">
        <v>252</v>
      </c>
    </row>
    <row r="44" spans="1:11" ht="39.6" x14ac:dyDescent="0.25">
      <c r="A44" s="388" t="s">
        <v>284</v>
      </c>
      <c r="B44" s="389" t="s">
        <v>285</v>
      </c>
      <c r="C44" s="369"/>
      <c r="D44" s="370"/>
      <c r="E44" s="374" t="s">
        <v>3</v>
      </c>
      <c r="F44" s="380"/>
      <c r="G44" s="381"/>
      <c r="H44" s="368" t="s">
        <v>252</v>
      </c>
    </row>
    <row r="45" spans="1:11" ht="46.8" x14ac:dyDescent="0.25">
      <c r="A45" s="372" t="s">
        <v>286</v>
      </c>
      <c r="B45" s="373" t="s">
        <v>257</v>
      </c>
      <c r="C45" s="369"/>
      <c r="D45" s="374" t="s">
        <v>3</v>
      </c>
      <c r="E45" s="370"/>
      <c r="F45" s="375"/>
      <c r="G45" s="376"/>
      <c r="H45" s="368" t="s">
        <v>252</v>
      </c>
      <c r="I45" s="390"/>
    </row>
    <row r="46" spans="1:11" ht="46.8" x14ac:dyDescent="0.25">
      <c r="A46" s="362" t="s">
        <v>286</v>
      </c>
      <c r="B46" s="363" t="s">
        <v>258</v>
      </c>
      <c r="C46" s="377" t="s">
        <v>3</v>
      </c>
      <c r="D46" s="370"/>
      <c r="E46" s="370"/>
      <c r="F46" s="380"/>
      <c r="G46" s="381"/>
      <c r="H46" s="368" t="s">
        <v>247</v>
      </c>
    </row>
    <row r="47" spans="1:11" ht="46.8" x14ac:dyDescent="0.25">
      <c r="A47" s="362" t="s">
        <v>287</v>
      </c>
      <c r="B47" s="379" t="s">
        <v>471</v>
      </c>
      <c r="C47" s="377" t="s">
        <v>3</v>
      </c>
      <c r="D47" s="370"/>
      <c r="E47" s="370"/>
      <c r="F47" s="380"/>
      <c r="G47" s="381"/>
      <c r="H47" s="368" t="s">
        <v>247</v>
      </c>
    </row>
    <row r="48" spans="1:11" ht="23.25" customHeight="1" x14ac:dyDescent="0.25"/>
    <row r="49" spans="1:8" s="391" customFormat="1" ht="10.199999999999999" x14ac:dyDescent="0.2">
      <c r="A49" s="519" t="s">
        <v>288</v>
      </c>
      <c r="B49" s="520"/>
      <c r="C49" s="520"/>
      <c r="D49" s="520"/>
      <c r="E49" s="520"/>
      <c r="F49" s="520"/>
      <c r="G49" s="520"/>
      <c r="H49" s="520"/>
    </row>
    <row r="50" spans="1:8" s="391" customFormat="1" ht="10.199999999999999" x14ac:dyDescent="0.2">
      <c r="A50" s="520"/>
      <c r="B50" s="520"/>
      <c r="C50" s="520"/>
      <c r="D50" s="520"/>
      <c r="E50" s="520"/>
      <c r="F50" s="520"/>
      <c r="G50" s="520"/>
      <c r="H50" s="520"/>
    </row>
    <row r="51" spans="1:8" ht="33.75" customHeight="1" x14ac:dyDescent="0.25">
      <c r="A51" s="520"/>
      <c r="B51" s="520"/>
      <c r="C51" s="520"/>
      <c r="D51" s="520"/>
      <c r="E51" s="520"/>
      <c r="F51" s="520"/>
      <c r="G51" s="520"/>
      <c r="H51" s="520"/>
    </row>
    <row r="52" spans="1:8" ht="20.25" customHeight="1" x14ac:dyDescent="0.25">
      <c r="A52" s="392" t="s">
        <v>289</v>
      </c>
      <c r="B52" s="391"/>
      <c r="C52" s="391"/>
      <c r="D52" s="391"/>
      <c r="E52" s="391"/>
      <c r="F52" s="391"/>
      <c r="G52" s="391"/>
      <c r="H52" s="391"/>
    </row>
    <row r="53" spans="1:8" x14ac:dyDescent="0.25">
      <c r="A53" s="391" t="s">
        <v>290</v>
      </c>
      <c r="B53" s="391"/>
      <c r="C53" s="391"/>
      <c r="D53" s="391"/>
      <c r="E53" s="391"/>
      <c r="F53" s="391"/>
      <c r="G53" s="391"/>
      <c r="H53" s="391"/>
    </row>
    <row r="54" spans="1:8" x14ac:dyDescent="0.25">
      <c r="A54" s="391"/>
      <c r="B54" s="391"/>
      <c r="C54" s="391"/>
      <c r="D54" s="391"/>
      <c r="E54" s="391"/>
      <c r="F54" s="391"/>
      <c r="G54" s="391"/>
      <c r="H54" s="391"/>
    </row>
    <row r="55" spans="1:8" x14ac:dyDescent="0.25">
      <c r="A55" s="391"/>
      <c r="B55" s="391"/>
      <c r="C55" s="391"/>
      <c r="D55" s="391"/>
      <c r="E55" s="391"/>
      <c r="F55" s="391"/>
      <c r="G55" s="391"/>
      <c r="H55" s="391"/>
    </row>
    <row r="56" spans="1:8" x14ac:dyDescent="0.25">
      <c r="A56" s="392"/>
      <c r="B56" s="391"/>
      <c r="C56" s="391"/>
      <c r="D56" s="391"/>
      <c r="E56" s="391"/>
      <c r="F56" s="391"/>
      <c r="G56" s="391"/>
      <c r="H56" s="391"/>
    </row>
    <row r="57" spans="1:8" x14ac:dyDescent="0.25">
      <c r="A57" s="391"/>
      <c r="B57" s="391"/>
      <c r="C57" s="391"/>
      <c r="D57" s="391"/>
      <c r="E57" s="391"/>
      <c r="F57" s="391"/>
      <c r="G57" s="391"/>
      <c r="H57" s="391"/>
    </row>
    <row r="58" spans="1:8" x14ac:dyDescent="0.25">
      <c r="A58" s="391"/>
      <c r="B58" s="391"/>
      <c r="C58" s="391"/>
      <c r="D58" s="391"/>
      <c r="E58" s="391"/>
      <c r="F58" s="391"/>
      <c r="G58" s="391"/>
      <c r="H58" s="391"/>
    </row>
  </sheetData>
  <sheetProtection algorithmName="SHA-512" hashValue="ieDvhBBk9FqC4Z3oDhsf6Qm389fqt7lR47Z7rJDigAS18UMeRYoerbKB20xQCPGLF53Gs6Jyo+JBN48jffpubw==" saltValue="D7NjvNFFM5wz2A38ts5kxw==" spinCount="100000" sheet="1" objects="1" scenarios="1"/>
  <customSheetViews>
    <customSheetView guid="{3FC92738-033B-4B68-8121-D7E87081064C}">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1"/>
      <headerFooter alignWithMargins="0">
        <oddHeader>&amp;RSeite &amp;P von &amp;N</oddHeader>
        <oddFooter>&amp;L&amp;A&amp;R&amp;D</oddFooter>
      </headerFooter>
    </customSheetView>
    <customSheetView guid="{E083F7BB-7916-4ABB-BDC7-6042584E3606}">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2"/>
      <headerFooter alignWithMargins="0">
        <oddHeader>&amp;RSeite &amp;P von &amp;N</oddHeader>
        <oddFooter>&amp;L&amp;A&amp;R&amp;D</oddFooter>
      </headerFooter>
    </customSheetView>
    <customSheetView guid="{ED1EFE49-5A07-488C-96A3-3B9FD4475C11}">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3"/>
      <headerFooter alignWithMargins="0">
        <oddHeader>&amp;RSeite &amp;P von &amp;N</oddHeader>
        <oddFooter>&amp;L&amp;A&amp;R&amp;D</oddFooter>
      </headerFooter>
    </customSheetView>
  </customSheetViews>
  <mergeCells count="7">
    <mergeCell ref="I41:K41"/>
    <mergeCell ref="A49:H51"/>
    <mergeCell ref="A8:B8"/>
    <mergeCell ref="C8:G8"/>
    <mergeCell ref="I12:K12"/>
    <mergeCell ref="I28:K28"/>
    <mergeCell ref="I39:K39"/>
  </mergeCells>
  <pageMargins left="0.78740157480314965" right="0.39370078740157483" top="0.39370078740157483" bottom="0.59055118110236227" header="0.11811023622047245" footer="0.11811023622047245"/>
  <pageSetup paperSize="9" scale="67" orientation="portrait" r:id="rId4"/>
  <headerFooter alignWithMargins="0">
    <oddHeader>&amp;R &amp;P / &amp;N</oddHeader>
    <oddFooter>&amp;L&amp;A&amp;R&amp;D</oddFooter>
  </headerFooter>
  <rowBreaks count="1" manualBreakCount="1">
    <brk id="27"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D39"/>
  <sheetViews>
    <sheetView zoomScaleNormal="100" workbookViewId="0">
      <selection activeCell="B8" sqref="B8"/>
    </sheetView>
  </sheetViews>
  <sheetFormatPr baseColWidth="10" defaultColWidth="11.44140625" defaultRowHeight="13.2" x14ac:dyDescent="0.25"/>
  <cols>
    <col min="1" max="1" width="67.88671875" style="2" customWidth="1"/>
    <col min="2" max="2" width="20.88671875" style="2" customWidth="1"/>
    <col min="3" max="16384" width="11.44140625" style="2"/>
  </cols>
  <sheetData>
    <row r="1" spans="1:4" ht="15.6" x14ac:dyDescent="0.3">
      <c r="A1" s="1" t="s">
        <v>291</v>
      </c>
      <c r="B1" s="23" t="s">
        <v>292</v>
      </c>
    </row>
    <row r="2" spans="1:4" ht="15.6" x14ac:dyDescent="0.3">
      <c r="A2" s="1" t="s">
        <v>293</v>
      </c>
      <c r="B2" s="86"/>
    </row>
    <row r="3" spans="1:4" x14ac:dyDescent="0.25">
      <c r="C3" s="68"/>
    </row>
    <row r="4" spans="1:4" s="9" customFormat="1" x14ac:dyDescent="0.25">
      <c r="A4" s="27" t="s">
        <v>553</v>
      </c>
      <c r="C4" s="48"/>
      <c r="D4" s="48"/>
    </row>
    <row r="5" spans="1:4" x14ac:dyDescent="0.25">
      <c r="C5" s="68"/>
    </row>
    <row r="6" spans="1:4" x14ac:dyDescent="0.25">
      <c r="A6" s="84" t="s">
        <v>139</v>
      </c>
      <c r="B6" s="95">
        <v>2024</v>
      </c>
    </row>
    <row r="7" spans="1:4" x14ac:dyDescent="0.25">
      <c r="A7" s="84" t="s">
        <v>140</v>
      </c>
      <c r="B7" s="414">
        <f>'1 Récapitulation'!E10</f>
        <v>0</v>
      </c>
    </row>
    <row r="8" spans="1:4" x14ac:dyDescent="0.25">
      <c r="A8" s="84" t="s">
        <v>141</v>
      </c>
      <c r="B8" s="412"/>
    </row>
    <row r="9" spans="1:4" x14ac:dyDescent="0.25">
      <c r="A9" s="3"/>
    </row>
    <row r="10" spans="1:4" x14ac:dyDescent="0.25">
      <c r="A10" s="112"/>
      <c r="B10" s="8" t="s">
        <v>294</v>
      </c>
    </row>
    <row r="11" spans="1:4" x14ac:dyDescent="0.25">
      <c r="A11" s="214" t="s">
        <v>408</v>
      </c>
      <c r="B11" s="213"/>
    </row>
    <row r="12" spans="1:4" x14ac:dyDescent="0.25">
      <c r="A12" s="215" t="s">
        <v>418</v>
      </c>
      <c r="B12" s="213"/>
    </row>
    <row r="13" spans="1:4" x14ac:dyDescent="0.25">
      <c r="A13" s="216" t="s">
        <v>295</v>
      </c>
      <c r="B13" s="217"/>
    </row>
    <row r="14" spans="1:4" x14ac:dyDescent="0.25">
      <c r="A14" s="218"/>
      <c r="B14" s="219"/>
    </row>
    <row r="15" spans="1:4" x14ac:dyDescent="0.25">
      <c r="A15" s="220"/>
      <c r="B15" s="217"/>
    </row>
    <row r="16" spans="1:4" x14ac:dyDescent="0.25">
      <c r="A16" s="218"/>
      <c r="B16" s="219"/>
    </row>
    <row r="17" spans="1:2" x14ac:dyDescent="0.25">
      <c r="A17" s="220"/>
      <c r="B17" s="217"/>
    </row>
    <row r="18" spans="1:2" x14ac:dyDescent="0.25">
      <c r="A18" s="218"/>
      <c r="B18" s="219"/>
    </row>
    <row r="19" spans="1:2" x14ac:dyDescent="0.25">
      <c r="A19" s="220"/>
      <c r="B19" s="217"/>
    </row>
    <row r="20" spans="1:2" x14ac:dyDescent="0.25">
      <c r="A20" s="218"/>
      <c r="B20" s="219"/>
    </row>
    <row r="21" spans="1:2" x14ac:dyDescent="0.25">
      <c r="A21" s="220"/>
      <c r="B21" s="217"/>
    </row>
    <row r="22" spans="1:2" x14ac:dyDescent="0.25">
      <c r="A22" s="218"/>
      <c r="B22" s="219"/>
    </row>
    <row r="23" spans="1:2" x14ac:dyDescent="0.25">
      <c r="A23" s="220"/>
      <c r="B23" s="217"/>
    </row>
    <row r="24" spans="1:2" x14ac:dyDescent="0.25">
      <c r="A24" s="218"/>
      <c r="B24" s="219"/>
    </row>
    <row r="25" spans="1:2" x14ac:dyDescent="0.25">
      <c r="A25" s="220"/>
      <c r="B25" s="217"/>
    </row>
    <row r="26" spans="1:2" x14ac:dyDescent="0.25">
      <c r="A26" s="218"/>
      <c r="B26" s="219"/>
    </row>
    <row r="27" spans="1:2" ht="12" customHeight="1" x14ac:dyDescent="0.25">
      <c r="A27" s="216"/>
      <c r="B27" s="217"/>
    </row>
    <row r="28" spans="1:2" x14ac:dyDescent="0.25">
      <c r="A28" s="221"/>
      <c r="B28" s="219"/>
    </row>
    <row r="29" spans="1:2" x14ac:dyDescent="0.25">
      <c r="A29" s="216"/>
      <c r="B29" s="217"/>
    </row>
    <row r="30" spans="1:2" x14ac:dyDescent="0.25">
      <c r="A30" s="221"/>
      <c r="B30" s="219"/>
    </row>
    <row r="31" spans="1:2" x14ac:dyDescent="0.25">
      <c r="A31" s="216"/>
      <c r="B31" s="217"/>
    </row>
    <row r="32" spans="1:2" x14ac:dyDescent="0.25">
      <c r="A32" s="221"/>
      <c r="B32" s="219"/>
    </row>
    <row r="33" spans="1:2" x14ac:dyDescent="0.25">
      <c r="A33" s="220"/>
      <c r="B33" s="217"/>
    </row>
    <row r="34" spans="1:2" x14ac:dyDescent="0.25">
      <c r="A34" s="218"/>
      <c r="B34" s="219"/>
    </row>
    <row r="35" spans="1:2" x14ac:dyDescent="0.25">
      <c r="A35" s="220"/>
      <c r="B35" s="217"/>
    </row>
    <row r="36" spans="1:2" x14ac:dyDescent="0.25">
      <c r="A36" s="218"/>
      <c r="B36" s="219"/>
    </row>
    <row r="37" spans="1:2" x14ac:dyDescent="0.25">
      <c r="A37" s="220"/>
      <c r="B37" s="217"/>
    </row>
    <row r="38" spans="1:2" x14ac:dyDescent="0.25">
      <c r="A38" s="222" t="s">
        <v>12</v>
      </c>
      <c r="B38" s="322">
        <f>SUM(B13:B37)</f>
        <v>0</v>
      </c>
    </row>
    <row r="39" spans="1:2" x14ac:dyDescent="0.25">
      <c r="A39" s="69"/>
    </row>
  </sheetData>
  <sheetProtection algorithmName="SHA-512" hashValue="mT1YmoQeuPw2mc5PBSnHE4PKoKN7y/hiTgmAqpPlJKrVNnuCtOHxxyuKCZMBCqw1lmwOVudvHddf9D8YIAbj2Q==" saltValue="ePO4eogIjs6g7HamaX1wlA==" spinCount="100000" sheet="1" objects="1" scenarios="1"/>
  <customSheetViews>
    <customSheetView guid="{3FC92738-033B-4B68-8121-D7E87081064C}" topLeftCell="A4">
      <selection activeCell="B9" sqref="B9"/>
      <pageMargins left="0.78740157480314965" right="0.39370078740157483" top="0.39370078740157483" bottom="0.39370078740157483" header="0.11811023622047245" footer="0.11811023622047245"/>
      <pageSetup paperSize="9" orientation="portrait" r:id="rId1"/>
      <headerFooter alignWithMargins="0">
        <oddHeader>&amp;RSeite &amp;P von &amp;N</oddHeader>
        <oddFooter>&amp;L&amp;A&amp;R&amp;D</oddFooter>
      </headerFooter>
    </customSheetView>
    <customSheetView guid="{E083F7BB-7916-4ABB-BDC7-6042584E3606}" topLeftCell="A4">
      <selection activeCell="B9" sqref="B9"/>
      <pageMargins left="0.78740157480314965" right="0.39370078740157483" top="0.39370078740157483" bottom="0.39370078740157483" header="0.11811023622047245" footer="0.11811023622047245"/>
      <pageSetup paperSize="9" orientation="portrait" r:id="rId2"/>
      <headerFooter alignWithMargins="0">
        <oddHeader>&amp;RSeite &amp;P von &amp;N</oddHeader>
        <oddFooter>&amp;L&amp;A&amp;R&amp;D</oddFooter>
      </headerFooter>
    </customSheetView>
    <customSheetView guid="{ED1EFE49-5A07-488C-96A3-3B9FD4475C11}" topLeftCell="A4">
      <selection activeCell="B9" sqref="B9"/>
      <pageMargins left="0.78740157480314965" right="0.39370078740157483" top="0.39370078740157483" bottom="0.39370078740157483" header="0.11811023622047245" footer="0.11811023622047245"/>
      <pageSetup paperSize="9" orientation="portrait" r:id="rId3"/>
      <headerFooter alignWithMargins="0">
        <oddHeader>&amp;RSeite &amp;P von &amp;N</oddHeader>
        <oddFooter>&amp;L&amp;A&amp;R&amp;D</oddFooter>
      </headerFooter>
    </customSheetView>
  </customSheetViews>
  <pageMargins left="0.78740157480314965" right="0.39370078740157483" top="0.39370078740157483" bottom="0.39370078740157483" header="0.11811023622047245" footer="0.11811023622047245"/>
  <pageSetup paperSize="9" orientation="portrait" r:id="rId4"/>
  <headerFooter alignWithMargins="0">
    <oddHeader>&amp;R &amp;P / &amp;N</oddHeader>
    <oddFooter>&amp;L&amp;A&amp;R&amp;D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7"/>
  <sheetViews>
    <sheetView zoomScaleNormal="100" workbookViewId="0">
      <selection activeCell="B11" sqref="B11"/>
    </sheetView>
  </sheetViews>
  <sheetFormatPr baseColWidth="10" defaultColWidth="11.44140625" defaultRowHeight="13.2" x14ac:dyDescent="0.25"/>
  <cols>
    <col min="1" max="1" width="67.88671875" style="2" customWidth="1"/>
    <col min="2" max="2" width="20.88671875" style="2" customWidth="1"/>
    <col min="3" max="3" width="9.5546875" style="2" customWidth="1"/>
    <col min="4" max="16384" width="11.44140625" style="2"/>
  </cols>
  <sheetData>
    <row r="1" spans="1:4" ht="15.6" x14ac:dyDescent="0.3">
      <c r="A1" s="1" t="s">
        <v>420</v>
      </c>
      <c r="C1" s="23" t="s">
        <v>299</v>
      </c>
    </row>
    <row r="2" spans="1:4" s="457" customFormat="1" ht="15.6" x14ac:dyDescent="0.3">
      <c r="A2" s="527" t="s">
        <v>554</v>
      </c>
      <c r="B2" s="527"/>
      <c r="C2" s="527"/>
    </row>
    <row r="3" spans="1:4" s="457" customFormat="1" ht="15.6" x14ac:dyDescent="0.3">
      <c r="A3" s="458" t="s">
        <v>555</v>
      </c>
      <c r="B3" s="459"/>
    </row>
    <row r="4" spans="1:4" x14ac:dyDescent="0.25">
      <c r="A4" s="27" t="s">
        <v>296</v>
      </c>
      <c r="B4" s="86"/>
    </row>
    <row r="5" spans="1:4" x14ac:dyDescent="0.25">
      <c r="A5" s="27" t="s">
        <v>297</v>
      </c>
      <c r="B5" s="86"/>
    </row>
    <row r="6" spans="1:4" x14ac:dyDescent="0.25">
      <c r="A6" s="27" t="s">
        <v>553</v>
      </c>
      <c r="B6" s="86"/>
    </row>
    <row r="7" spans="1:4" s="9" customFormat="1" x14ac:dyDescent="0.25">
      <c r="A7" s="69" t="s">
        <v>419</v>
      </c>
      <c r="C7" s="48"/>
      <c r="D7" s="48"/>
    </row>
    <row r="8" spans="1:4" x14ac:dyDescent="0.25">
      <c r="C8" s="68"/>
    </row>
    <row r="9" spans="1:4" x14ac:dyDescent="0.25">
      <c r="A9" s="84" t="s">
        <v>139</v>
      </c>
      <c r="B9" s="95">
        <v>2024</v>
      </c>
    </row>
    <row r="10" spans="1:4" x14ac:dyDescent="0.25">
      <c r="A10" s="84" t="s">
        <v>140</v>
      </c>
      <c r="B10" s="414">
        <f>'1 Récapitulation'!E10</f>
        <v>0</v>
      </c>
    </row>
    <row r="11" spans="1:4" x14ac:dyDescent="0.25">
      <c r="A11" s="84" t="s">
        <v>141</v>
      </c>
      <c r="B11" s="89"/>
    </row>
    <row r="12" spans="1:4" x14ac:dyDescent="0.25">
      <c r="A12" s="3"/>
    </row>
    <row r="13" spans="1:4" s="212" customFormat="1" ht="40.5" customHeight="1" x14ac:dyDescent="0.25">
      <c r="A13" s="111" t="s">
        <v>298</v>
      </c>
      <c r="B13" s="111" t="s">
        <v>294</v>
      </c>
      <c r="C13" s="223" t="s">
        <v>147</v>
      </c>
    </row>
    <row r="14" spans="1:4" x14ac:dyDescent="0.25">
      <c r="A14" s="216"/>
      <c r="B14" s="217"/>
      <c r="C14" s="224">
        <f>IF(B14&gt;0,1,0)</f>
        <v>0</v>
      </c>
    </row>
    <row r="15" spans="1:4" x14ac:dyDescent="0.25">
      <c r="A15" s="221"/>
      <c r="B15" s="219"/>
      <c r="C15" s="224">
        <f t="shared" ref="C15:C65" si="0">IF(B15&gt;0,1,0)</f>
        <v>0</v>
      </c>
    </row>
    <row r="16" spans="1:4" x14ac:dyDescent="0.25">
      <c r="A16" s="220"/>
      <c r="B16" s="217"/>
      <c r="C16" s="224">
        <f t="shared" si="0"/>
        <v>0</v>
      </c>
    </row>
    <row r="17" spans="1:3" x14ac:dyDescent="0.25">
      <c r="A17" s="218"/>
      <c r="B17" s="219"/>
      <c r="C17" s="224">
        <f t="shared" si="0"/>
        <v>0</v>
      </c>
    </row>
    <row r="18" spans="1:3" x14ac:dyDescent="0.25">
      <c r="A18" s="220"/>
      <c r="B18" s="217"/>
      <c r="C18" s="224">
        <f t="shared" si="0"/>
        <v>0</v>
      </c>
    </row>
    <row r="19" spans="1:3" x14ac:dyDescent="0.25">
      <c r="A19" s="218"/>
      <c r="B19" s="219"/>
      <c r="C19" s="224">
        <f t="shared" si="0"/>
        <v>0</v>
      </c>
    </row>
    <row r="20" spans="1:3" x14ac:dyDescent="0.25">
      <c r="A20" s="220"/>
      <c r="B20" s="217"/>
      <c r="C20" s="224">
        <f t="shared" si="0"/>
        <v>0</v>
      </c>
    </row>
    <row r="21" spans="1:3" x14ac:dyDescent="0.25">
      <c r="A21" s="218"/>
      <c r="B21" s="219"/>
      <c r="C21" s="224">
        <f t="shared" si="0"/>
        <v>0</v>
      </c>
    </row>
    <row r="22" spans="1:3" x14ac:dyDescent="0.25">
      <c r="A22" s="220"/>
      <c r="B22" s="217"/>
      <c r="C22" s="224">
        <f t="shared" si="0"/>
        <v>0</v>
      </c>
    </row>
    <row r="23" spans="1:3" x14ac:dyDescent="0.25">
      <c r="A23" s="218"/>
      <c r="B23" s="219"/>
      <c r="C23" s="224">
        <f t="shared" si="0"/>
        <v>0</v>
      </c>
    </row>
    <row r="24" spans="1:3" x14ac:dyDescent="0.25">
      <c r="A24" s="220"/>
      <c r="B24" s="217"/>
      <c r="C24" s="224">
        <f t="shared" si="0"/>
        <v>0</v>
      </c>
    </row>
    <row r="25" spans="1:3" x14ac:dyDescent="0.25">
      <c r="A25" s="218"/>
      <c r="B25" s="219"/>
      <c r="C25" s="224">
        <f t="shared" si="0"/>
        <v>0</v>
      </c>
    </row>
    <row r="26" spans="1:3" x14ac:dyDescent="0.25">
      <c r="A26" s="220"/>
      <c r="B26" s="217"/>
      <c r="C26" s="224">
        <f t="shared" si="0"/>
        <v>0</v>
      </c>
    </row>
    <row r="27" spans="1:3" x14ac:dyDescent="0.25">
      <c r="A27" s="218"/>
      <c r="B27" s="219"/>
      <c r="C27" s="224">
        <f t="shared" si="0"/>
        <v>0</v>
      </c>
    </row>
    <row r="28" spans="1:3" x14ac:dyDescent="0.25">
      <c r="A28" s="220"/>
      <c r="B28" s="217"/>
      <c r="C28" s="224">
        <f t="shared" si="0"/>
        <v>0</v>
      </c>
    </row>
    <row r="29" spans="1:3" x14ac:dyDescent="0.25">
      <c r="A29" s="218"/>
      <c r="B29" s="219"/>
      <c r="C29" s="224">
        <f t="shared" si="0"/>
        <v>0</v>
      </c>
    </row>
    <row r="30" spans="1:3" x14ac:dyDescent="0.25">
      <c r="A30" s="220"/>
      <c r="B30" s="217"/>
      <c r="C30" s="224">
        <f t="shared" si="0"/>
        <v>0</v>
      </c>
    </row>
    <row r="31" spans="1:3" x14ac:dyDescent="0.25">
      <c r="A31" s="218"/>
      <c r="B31" s="219"/>
      <c r="C31" s="224">
        <f t="shared" si="0"/>
        <v>0</v>
      </c>
    </row>
    <row r="32" spans="1:3" x14ac:dyDescent="0.25">
      <c r="A32" s="220"/>
      <c r="B32" s="217"/>
      <c r="C32" s="224">
        <f t="shared" si="0"/>
        <v>0</v>
      </c>
    </row>
    <row r="33" spans="1:3" x14ac:dyDescent="0.25">
      <c r="A33" s="218"/>
      <c r="B33" s="219"/>
      <c r="C33" s="224">
        <f t="shared" si="0"/>
        <v>0</v>
      </c>
    </row>
    <row r="34" spans="1:3" x14ac:dyDescent="0.25">
      <c r="A34" s="220"/>
      <c r="B34" s="217"/>
      <c r="C34" s="224">
        <f t="shared" si="0"/>
        <v>0</v>
      </c>
    </row>
    <row r="35" spans="1:3" x14ac:dyDescent="0.25">
      <c r="A35" s="218"/>
      <c r="B35" s="219"/>
      <c r="C35" s="224">
        <f t="shared" si="0"/>
        <v>0</v>
      </c>
    </row>
    <row r="36" spans="1:3" x14ac:dyDescent="0.25">
      <c r="A36" s="220"/>
      <c r="B36" s="217"/>
      <c r="C36" s="224">
        <f t="shared" si="0"/>
        <v>0</v>
      </c>
    </row>
    <row r="37" spans="1:3" x14ac:dyDescent="0.25">
      <c r="A37" s="218"/>
      <c r="B37" s="219"/>
      <c r="C37" s="224">
        <f t="shared" si="0"/>
        <v>0</v>
      </c>
    </row>
    <row r="38" spans="1:3" x14ac:dyDescent="0.25">
      <c r="A38" s="220"/>
      <c r="B38" s="217"/>
      <c r="C38" s="224">
        <f t="shared" si="0"/>
        <v>0</v>
      </c>
    </row>
    <row r="39" spans="1:3" x14ac:dyDescent="0.25">
      <c r="A39" s="218"/>
      <c r="B39" s="219"/>
      <c r="C39" s="224">
        <f t="shared" si="0"/>
        <v>0</v>
      </c>
    </row>
    <row r="40" spans="1:3" x14ac:dyDescent="0.25">
      <c r="A40" s="220"/>
      <c r="B40" s="217"/>
      <c r="C40" s="224">
        <f t="shared" si="0"/>
        <v>0</v>
      </c>
    </row>
    <row r="41" spans="1:3" x14ac:dyDescent="0.25">
      <c r="A41" s="218"/>
      <c r="B41" s="219"/>
      <c r="C41" s="224">
        <f t="shared" si="0"/>
        <v>0</v>
      </c>
    </row>
    <row r="42" spans="1:3" x14ac:dyDescent="0.25">
      <c r="A42" s="220"/>
      <c r="B42" s="217"/>
      <c r="C42" s="224">
        <f t="shared" si="0"/>
        <v>0</v>
      </c>
    </row>
    <row r="43" spans="1:3" x14ac:dyDescent="0.25">
      <c r="A43" s="218"/>
      <c r="B43" s="219"/>
      <c r="C43" s="224">
        <f t="shared" si="0"/>
        <v>0</v>
      </c>
    </row>
    <row r="44" spans="1:3" x14ac:dyDescent="0.25">
      <c r="A44" s="220"/>
      <c r="B44" s="217"/>
      <c r="C44" s="224">
        <f t="shared" si="0"/>
        <v>0</v>
      </c>
    </row>
    <row r="45" spans="1:3" x14ac:dyDescent="0.25">
      <c r="A45" s="218"/>
      <c r="B45" s="219"/>
      <c r="C45" s="224">
        <f t="shared" si="0"/>
        <v>0</v>
      </c>
    </row>
    <row r="46" spans="1:3" x14ac:dyDescent="0.25">
      <c r="A46" s="220"/>
      <c r="B46" s="217"/>
      <c r="C46" s="224">
        <f t="shared" si="0"/>
        <v>0</v>
      </c>
    </row>
    <row r="47" spans="1:3" x14ac:dyDescent="0.25">
      <c r="A47" s="218"/>
      <c r="B47" s="219"/>
      <c r="C47" s="224">
        <f t="shared" si="0"/>
        <v>0</v>
      </c>
    </row>
    <row r="48" spans="1:3" x14ac:dyDescent="0.25">
      <c r="A48" s="220"/>
      <c r="B48" s="217"/>
      <c r="C48" s="224">
        <f t="shared" si="0"/>
        <v>0</v>
      </c>
    </row>
    <row r="49" spans="1:3" x14ac:dyDescent="0.25">
      <c r="A49" s="218"/>
      <c r="B49" s="219"/>
      <c r="C49" s="224">
        <f t="shared" si="0"/>
        <v>0</v>
      </c>
    </row>
    <row r="50" spans="1:3" x14ac:dyDescent="0.25">
      <c r="A50" s="220"/>
      <c r="B50" s="217"/>
      <c r="C50" s="224">
        <f t="shared" si="0"/>
        <v>0</v>
      </c>
    </row>
    <row r="51" spans="1:3" x14ac:dyDescent="0.25">
      <c r="A51" s="218"/>
      <c r="B51" s="219"/>
      <c r="C51" s="224">
        <f t="shared" si="0"/>
        <v>0</v>
      </c>
    </row>
    <row r="52" spans="1:3" x14ac:dyDescent="0.25">
      <c r="A52" s="220"/>
      <c r="B52" s="217"/>
      <c r="C52" s="224">
        <f t="shared" si="0"/>
        <v>0</v>
      </c>
    </row>
    <row r="53" spans="1:3" x14ac:dyDescent="0.25">
      <c r="A53" s="218"/>
      <c r="B53" s="219"/>
      <c r="C53" s="224">
        <f t="shared" si="0"/>
        <v>0</v>
      </c>
    </row>
    <row r="54" spans="1:3" x14ac:dyDescent="0.25">
      <c r="A54" s="220"/>
      <c r="B54" s="217"/>
      <c r="C54" s="224">
        <f t="shared" si="0"/>
        <v>0</v>
      </c>
    </row>
    <row r="55" spans="1:3" x14ac:dyDescent="0.25">
      <c r="A55" s="218"/>
      <c r="B55" s="219"/>
      <c r="C55" s="224">
        <f t="shared" si="0"/>
        <v>0</v>
      </c>
    </row>
    <row r="56" spans="1:3" x14ac:dyDescent="0.25">
      <c r="A56" s="220"/>
      <c r="B56" s="217"/>
      <c r="C56" s="224">
        <f t="shared" si="0"/>
        <v>0</v>
      </c>
    </row>
    <row r="57" spans="1:3" x14ac:dyDescent="0.25">
      <c r="A57" s="218"/>
      <c r="B57" s="219"/>
      <c r="C57" s="224">
        <f t="shared" si="0"/>
        <v>0</v>
      </c>
    </row>
    <row r="58" spans="1:3" x14ac:dyDescent="0.25">
      <c r="A58" s="220"/>
      <c r="B58" s="217"/>
      <c r="C58" s="224">
        <f t="shared" si="0"/>
        <v>0</v>
      </c>
    </row>
    <row r="59" spans="1:3" x14ac:dyDescent="0.25">
      <c r="A59" s="218"/>
      <c r="B59" s="219"/>
      <c r="C59" s="224">
        <f t="shared" si="0"/>
        <v>0</v>
      </c>
    </row>
    <row r="60" spans="1:3" x14ac:dyDescent="0.25">
      <c r="A60" s="220"/>
      <c r="B60" s="217"/>
      <c r="C60" s="224">
        <f t="shared" si="0"/>
        <v>0</v>
      </c>
    </row>
    <row r="61" spans="1:3" x14ac:dyDescent="0.25">
      <c r="A61" s="218"/>
      <c r="B61" s="219"/>
      <c r="C61" s="224">
        <f t="shared" si="0"/>
        <v>0</v>
      </c>
    </row>
    <row r="62" spans="1:3" x14ac:dyDescent="0.25">
      <c r="A62" s="220"/>
      <c r="B62" s="217"/>
      <c r="C62" s="224">
        <f t="shared" si="0"/>
        <v>0</v>
      </c>
    </row>
    <row r="63" spans="1:3" x14ac:dyDescent="0.25">
      <c r="A63" s="218"/>
      <c r="B63" s="219"/>
      <c r="C63" s="224">
        <f t="shared" si="0"/>
        <v>0</v>
      </c>
    </row>
    <row r="64" spans="1:3" x14ac:dyDescent="0.25">
      <c r="A64" s="220"/>
      <c r="B64" s="217"/>
      <c r="C64" s="224">
        <f t="shared" si="0"/>
        <v>0</v>
      </c>
    </row>
    <row r="65" spans="1:3" x14ac:dyDescent="0.25">
      <c r="A65" s="218"/>
      <c r="B65" s="219"/>
      <c r="C65" s="224">
        <f t="shared" si="0"/>
        <v>0</v>
      </c>
    </row>
    <row r="66" spans="1:3" x14ac:dyDescent="0.25">
      <c r="A66" s="222" t="s">
        <v>12</v>
      </c>
      <c r="B66" s="322">
        <f>SUM(B14:B65)</f>
        <v>0</v>
      </c>
      <c r="C66" s="51">
        <f>SUM(C14:C65)</f>
        <v>0</v>
      </c>
    </row>
    <row r="67" spans="1:3" x14ac:dyDescent="0.25">
      <c r="A67" s="69"/>
    </row>
  </sheetData>
  <sheetProtection algorithmName="SHA-512" hashValue="YBNRr/cn/kbvt9ah2G+HqbvfMkr7lYS50isAsp43QmNjWWr33ZnxTdf9x1jwj0mnCpSH9onTkNr0chRodFIPgg==" saltValue="LNqlXcfKCGAZ+x8/edGutQ==" spinCount="100000" sheet="1" objects="1" scenarios="1"/>
  <mergeCells count="1">
    <mergeCell ref="A2:C2"/>
  </mergeCells>
  <pageMargins left="0.78740157480314965" right="0.39370078740157483" top="0.39370078740157483" bottom="0.39370078740157483" header="0.11811023622047245" footer="0.11811023622047245"/>
  <pageSetup paperSize="9" scale="92" orientation="portrait" r:id="rId1"/>
  <headerFooter alignWithMargins="0">
    <oddHeader>&amp;R &amp;P / &amp;N</oddHeader>
    <oddFooter>&amp;L&amp;A&amp;R&amp;D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ovaDocument" ma:contentTypeID="0x010100064C068282801F4C8D25088CF0E46DDA00BD5E313B77026B4A91A65BDA9D087A2E" ma:contentTypeVersion="26" ma:contentTypeDescription="Ein neues Dokument erstellen." ma:contentTypeScope="" ma:versionID="4468bd82070879ac0a05049a25b50bcb">
  <xsd:schema xmlns:xsd="http://www.w3.org/2001/XMLSchema" xmlns:xs="http://www.w3.org/2001/XMLSchema" xmlns:p="http://schemas.microsoft.com/office/2006/metadata/properties" xmlns:ns2="df115e2d-25d5-4c5b-89c6-b146678679a8" xmlns:ns3="013f4042-dd86-4791-99e1-c26540cab57f" targetNamespace="http://schemas.microsoft.com/office/2006/metadata/properties" ma:root="true" ma:fieldsID="748232b0c4f041112ad0ea8ac5d961f8" ns2:_="" ns3:_="">
    <xsd:import namespace="df115e2d-25d5-4c5b-89c6-b146678679a8"/>
    <xsd:import namespace="013f4042-dd86-4791-99e1-c26540cab57f"/>
    <xsd:element name="properties">
      <xsd:complexType>
        <xsd:sequence>
          <xsd:element name="documentManagement">
            <xsd:complexType>
              <xsd:all>
                <xsd:element ref="ns2:gaaacf6cb62346c5a7bebaf15415dcdc" minOccurs="0"/>
                <xsd:element ref="ns2:TaxCatchAll" minOccurs="0"/>
                <xsd:element ref="ns2:TaxCatchAllLabel" minOccurs="0"/>
                <xsd:element ref="ns2:dc01bf85a7c442a380677b1fa33e6be8" minOccurs="0"/>
                <xsd:element ref="ns2:pf722b57b1d94a088d022b49ea51955c" minOccurs="0"/>
                <xsd:element ref="ns2:h7a60a55d60f4325b857a054d166370d" minOccurs="0"/>
                <xsd:element ref="ns2:kf1708a5c847470daff037a20eb8ee17" minOccurs="0"/>
                <xsd:element ref="ns2:kf659c813a4d4638af7d300863202890" minOccurs="0"/>
                <xsd:element ref="ns2:acce3e9a887d4923892caddb6fc8f0d2" minOccurs="0"/>
                <xsd:element ref="ns2:k8352ca3278f4772ba95a16508741355" minOccurs="0"/>
                <xsd:element ref="ns2:Sequenz" minOccurs="0"/>
                <xsd:element ref="ns2:ce90a9e06bcf47379caf73b9fc6b7a58"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SearchPropertie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15e2d-25d5-4c5b-89c6-b146678679a8" elementFormDefault="qualified">
    <xsd:import namespace="http://schemas.microsoft.com/office/2006/documentManagement/types"/>
    <xsd:import namespace="http://schemas.microsoft.com/office/infopath/2007/PartnerControls"/>
    <xsd:element name="gaaacf6cb62346c5a7bebaf15415dcdc" ma:index="8" nillable="true" ma:taxonomy="true" ma:internalName="gaaacf6cb62346c5a7bebaf15415dcdc" ma:taxonomyFieldName="Dokumenttyp" ma:displayName="Dokumenttyp" ma:fieldId="{0aaacf6c-b623-46c5-a7be-baf15415dcdc}" ma:sspId="aabfeb6e-be73-4729-9d1d-df4fae144553" ma:termSetId="dd42edbe-850e-4b96-a6a7-0a942951169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6ebd7f1-e03d-4da0-a803-243e3087eec8}" ma:internalName="TaxCatchAll" ma:showField="CatchAllData" ma:web="df115e2d-25d5-4c5b-89c6-b146678679a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ebd7f1-e03d-4da0-a803-243e3087eec8}" ma:internalName="TaxCatchAllLabel" ma:readOnly="true" ma:showField="CatchAllDataLabel" ma:web="df115e2d-25d5-4c5b-89c6-b146678679a8">
      <xsd:complexType>
        <xsd:complexContent>
          <xsd:extension base="dms:MultiChoiceLookup">
            <xsd:sequence>
              <xsd:element name="Value" type="dms:Lookup" maxOccurs="unbounded" minOccurs="0" nillable="true"/>
            </xsd:sequence>
          </xsd:extension>
        </xsd:complexContent>
      </xsd:complexType>
    </xsd:element>
    <xsd:element name="dc01bf85a7c442a380677b1fa33e6be8" ma:index="12" nillable="true" ma:taxonomy="true" ma:internalName="dc01bf85a7c442a380677b1fa33e6be8" ma:taxonomyFieldName="Funktion" ma:displayName="Funktion" ma:fieldId="{dc01bf85-a7c4-42a3-8067-7b1fa33e6be8}" ma:sspId="aabfeb6e-be73-4729-9d1d-df4fae144553" ma:termSetId="8ed8c9ea-7052-4c1d-a4d7-b9c10bffea6f" ma:anchorId="00000000-0000-0000-0000-000000000000" ma:open="false" ma:isKeyword="false">
      <xsd:complexType>
        <xsd:sequence>
          <xsd:element ref="pc:Terms" minOccurs="0" maxOccurs="1"/>
        </xsd:sequence>
      </xsd:complexType>
    </xsd:element>
    <xsd:element name="pf722b57b1d94a088d022b49ea51955c" ma:index="14" nillable="true" ma:taxonomy="true" ma:internalName="pf722b57b1d94a088d022b49ea51955c" ma:taxonomyFieldName="Projektnummer" ma:displayName="Projektnummer" ma:fieldId="{9f722b57-b1d9-4a08-8d02-2b49ea51955c}" ma:sspId="aabfeb6e-be73-4729-9d1d-df4fae144553" ma:termSetId="004eea0f-b746-4012-91c7-d351b236d037" ma:anchorId="00000000-0000-0000-0000-000000000000" ma:open="false" ma:isKeyword="false">
      <xsd:complexType>
        <xsd:sequence>
          <xsd:element ref="pc:Terms" minOccurs="0" maxOccurs="1"/>
        </xsd:sequence>
      </xsd:complexType>
    </xsd:element>
    <xsd:element name="h7a60a55d60f4325b857a054d166370d" ma:index="16" nillable="true" ma:taxonomy="true" ma:internalName="h7a60a55d60f4325b857a054d166370d" ma:taxonomyFieldName="Geschaeftsnummer" ma:displayName="Geschaeftsnummer" ma:fieldId="{17a60a55-d60f-4325-b857-a054d166370d}" ma:sspId="aabfeb6e-be73-4729-9d1d-df4fae144553" ma:termSetId="f0f0f2d0-d370-48f6-a9af-4c13043801db" ma:anchorId="00000000-0000-0000-0000-000000000000" ma:open="false" ma:isKeyword="false">
      <xsd:complexType>
        <xsd:sequence>
          <xsd:element ref="pc:Terms" minOccurs="0" maxOccurs="1"/>
        </xsd:sequence>
      </xsd:complexType>
    </xsd:element>
    <xsd:element name="kf1708a5c847470daff037a20eb8ee17" ma:index="18" nillable="true" ma:taxonomy="true" ma:internalName="kf1708a5c847470daff037a20eb8ee17" ma:taxonomyFieldName="Kunde" ma:displayName="Kunde" ma:fieldId="{4f1708a5-c847-470d-aff0-37a20eb8ee17}" ma:sspId="aabfeb6e-be73-4729-9d1d-df4fae144553" ma:termSetId="11fca9a3-b8dc-425a-b0fb-c3e74e4b2b68" ma:anchorId="00000000-0000-0000-0000-000000000000" ma:open="false" ma:isKeyword="false">
      <xsd:complexType>
        <xsd:sequence>
          <xsd:element ref="pc:Terms" minOccurs="0" maxOccurs="1"/>
        </xsd:sequence>
      </xsd:complexType>
    </xsd:element>
    <xsd:element name="kf659c813a4d4638af7d300863202890" ma:index="20" nillable="true" ma:taxonomy="true" ma:internalName="kf659c813a4d4638af7d300863202890" ma:taxonomyFieldName="Produkt" ma:displayName="Produkt" ma:fieldId="{4f659c81-3a4d-4638-af7d-300863202890}" ma:sspId="aabfeb6e-be73-4729-9d1d-df4fae144553" ma:termSetId="9df0b538-e849-4599-8adf-0b5dbf7c3868" ma:anchorId="00000000-0000-0000-0000-000000000000" ma:open="false" ma:isKeyword="false">
      <xsd:complexType>
        <xsd:sequence>
          <xsd:element ref="pc:Terms" minOccurs="0" maxOccurs="1"/>
        </xsd:sequence>
      </xsd:complexType>
    </xsd:element>
    <xsd:element name="acce3e9a887d4923892caddb6fc8f0d2" ma:index="22" nillable="true" ma:taxonomy="true" ma:internalName="acce3e9a887d4923892caddb6fc8f0d2" ma:taxonomyFieldName="Modul" ma:displayName="Modul" ma:fieldId="{acce3e9a-887d-4923-892c-addb6fc8f0d2}" ma:sspId="aabfeb6e-be73-4729-9d1d-df4fae144553" ma:termSetId="6422948a-98b4-44cd-a875-29dfde410139" ma:anchorId="00000000-0000-0000-0000-000000000000" ma:open="false" ma:isKeyword="false">
      <xsd:complexType>
        <xsd:sequence>
          <xsd:element ref="pc:Terms" minOccurs="0" maxOccurs="1"/>
        </xsd:sequence>
      </xsd:complexType>
    </xsd:element>
    <xsd:element name="k8352ca3278f4772ba95a16508741355" ma:index="24" nillable="true" ma:taxonomy="true" ma:internalName="k8352ca3278f4772ba95a16508741355" ma:taxonomyFieldName="Release" ma:displayName="Release" ma:fieldId="{48352ca3-278f-4772-ba95-a16508741355}" ma:sspId="aabfeb6e-be73-4729-9d1d-df4fae144553" ma:termSetId="26db2fc0-be4a-443b-85d2-cfa076619005" ma:anchorId="00000000-0000-0000-0000-000000000000" ma:open="false" ma:isKeyword="false">
      <xsd:complexType>
        <xsd:sequence>
          <xsd:element ref="pc:Terms" minOccurs="0" maxOccurs="1"/>
        </xsd:sequence>
      </xsd:complexType>
    </xsd:element>
    <xsd:element name="Sequenz" ma:index="26" nillable="true" ma:displayName="Sequenz" ma:internalName="Sequenz">
      <xsd:simpleType>
        <xsd:restriction base="dms:Number"/>
      </xsd:simpleType>
    </xsd:element>
    <xsd:element name="ce90a9e06bcf47379caf73b9fc6b7a58" ma:index="27" nillable="true" ma:taxonomy="true" ma:internalName="ce90a9e06bcf47379caf73b9fc6b7a58" ma:taxonomyFieldName="Stichworte" ma:displayName="Stichworte" ma:fieldId="{ce90a9e0-6bcf-4737-9caf-73b9fc6b7a58}" ma:taxonomyMulti="true" ma:sspId="aabfeb6e-be73-4729-9d1d-df4fae144553" ma:termSetId="9a1e984c-19a7-4388-b382-5771e6450717" ma:anchorId="00000000-0000-0000-0000-000000000000" ma:open="true" ma:isKeyword="false">
      <xsd:complexType>
        <xsd:sequence>
          <xsd:element ref="pc:Terms" minOccurs="0" maxOccurs="1"/>
        </xsd:sequence>
      </xsd:complexType>
    </xsd:element>
    <xsd:element name="SharedWithUsers" ma:index="3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3f4042-dd86-4791-99e1-c26540cab57f"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38" nillable="true" ma:taxonomy="true" ma:internalName="lcf76f155ced4ddcb4097134ff3c332f" ma:taxonomyFieldName="MediaServiceImageTags" ma:displayName="Bildmarkierungen" ma:readOnly="false" ma:fieldId="{5cf76f15-5ced-4ddc-b409-7134ff3c332f}" ma:taxonomyMulti="true" ma:sspId="aabfeb6e-be73-4729-9d1d-df4fae144553" ma:termSetId="09814cd3-568e-fe90-9814-8d621ff8fb84" ma:anchorId="fba54fb3-c3e1-fe81-a776-ca4b69148c4d" ma:open="true" ma:isKeyword="false">
      <xsd:complexType>
        <xsd:sequence>
          <xsd:element ref="pc:Terms" minOccurs="0" maxOccurs="1"/>
        </xsd:sequence>
      </xsd:complex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f115e2d-25d5-4c5b-89c6-b146678679a8" xsi:nil="true"/>
    <ce90a9e06bcf47379caf73b9fc6b7a58 xmlns="df115e2d-25d5-4c5b-89c6-b146678679a8">
      <Terms xmlns="http://schemas.microsoft.com/office/infopath/2007/PartnerControls"/>
    </ce90a9e06bcf47379caf73b9fc6b7a58>
    <acce3e9a887d4923892caddb6fc8f0d2 xmlns="df115e2d-25d5-4c5b-89c6-b146678679a8">
      <Terms xmlns="http://schemas.microsoft.com/office/infopath/2007/PartnerControls"/>
    </acce3e9a887d4923892caddb6fc8f0d2>
    <k8352ca3278f4772ba95a16508741355 xmlns="df115e2d-25d5-4c5b-89c6-b146678679a8">
      <Terms xmlns="http://schemas.microsoft.com/office/infopath/2007/PartnerControls"/>
    </k8352ca3278f4772ba95a16508741355>
    <Sequenz xmlns="df115e2d-25d5-4c5b-89c6-b146678679a8" xsi:nil="true"/>
    <dc01bf85a7c442a380677b1fa33e6be8 xmlns="df115e2d-25d5-4c5b-89c6-b146678679a8">
      <Terms xmlns="http://schemas.microsoft.com/office/infopath/2007/PartnerControls"/>
    </dc01bf85a7c442a380677b1fa33e6be8>
    <pf722b57b1d94a088d022b49ea51955c xmlns="df115e2d-25d5-4c5b-89c6-b146678679a8">
      <Terms xmlns="http://schemas.microsoft.com/office/infopath/2007/PartnerControls"/>
    </pf722b57b1d94a088d022b49ea51955c>
    <h7a60a55d60f4325b857a054d166370d xmlns="df115e2d-25d5-4c5b-89c6-b146678679a8">
      <Terms xmlns="http://schemas.microsoft.com/office/infopath/2007/PartnerControls"/>
    </h7a60a55d60f4325b857a054d166370d>
    <gaaacf6cb62346c5a7bebaf15415dcdc xmlns="df115e2d-25d5-4c5b-89c6-b146678679a8">
      <Terms xmlns="http://schemas.microsoft.com/office/infopath/2007/PartnerControls"/>
    </gaaacf6cb62346c5a7bebaf15415dcdc>
    <kf659c813a4d4638af7d300863202890 xmlns="df115e2d-25d5-4c5b-89c6-b146678679a8">
      <Terms xmlns="http://schemas.microsoft.com/office/infopath/2007/PartnerControls"/>
    </kf659c813a4d4638af7d300863202890>
    <kf1708a5c847470daff037a20eb8ee17 xmlns="df115e2d-25d5-4c5b-89c6-b146678679a8">
      <Terms xmlns="http://schemas.microsoft.com/office/infopath/2007/PartnerControls"/>
    </kf1708a5c847470daff037a20eb8ee17>
    <lcf76f155ced4ddcb4097134ff3c332f xmlns="013f4042-dd86-4791-99e1-c26540cab57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A6076-0520-47B0-BA68-14E425B62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15e2d-25d5-4c5b-89c6-b146678679a8"/>
    <ds:schemaRef ds:uri="013f4042-dd86-4791-99e1-c26540cab5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FFF615-11AB-4851-A524-9F589D7C48A0}">
  <ds:schemaRefs>
    <ds:schemaRef ds:uri="df115e2d-25d5-4c5b-89c6-b146678679a8"/>
    <ds:schemaRef ds:uri="http://purl.org/dc/elements/1.1/"/>
    <ds:schemaRef ds:uri="http://schemas.openxmlformats.org/package/2006/metadata/core-properties"/>
    <ds:schemaRef ds:uri="http://purl.org/dc/terms/"/>
    <ds:schemaRef ds:uri="http://schemas.microsoft.com/office/2006/documentManagement/types"/>
    <ds:schemaRef ds:uri="013f4042-dd86-4791-99e1-c26540cab57f"/>
    <ds:schemaRef ds:uri="http://purl.org/dc/dcmitype/"/>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E3CA0F6-212D-40CB-AF0B-304E33ADB7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24</vt:i4>
      </vt:variant>
    </vt:vector>
  </HeadingPairs>
  <TitlesOfParts>
    <vt:vector size="40" baseType="lpstr">
      <vt:lpstr>1 Récapitulation</vt:lpstr>
      <vt:lpstr>tableImport</vt:lpstr>
      <vt:lpstr>tableImportPivot</vt:lpstr>
      <vt:lpstr>2 Aide matérielle</vt:lpstr>
      <vt:lpstr>2a Bénéficiaires</vt:lpstr>
      <vt:lpstr>2b Synthèse par commune</vt:lpstr>
      <vt:lpstr>2c Liste de contrôle</vt:lpstr>
      <vt:lpstr>2d Coûts particuliers</vt:lpstr>
      <vt:lpstr>2e Soins médicaux d'urgence</vt:lpstr>
      <vt:lpstr>3 Pensions alimentaires</vt:lpstr>
      <vt:lpstr>3a Synthèse par commune</vt:lpstr>
      <vt:lpstr>4 Forfaits par cas</vt:lpstr>
      <vt:lpstr>4a Cas consultation préventive</vt:lpstr>
      <vt:lpstr>4b Cas recouvrement et avances</vt:lpstr>
      <vt:lpstr>7 Animation de jeunesse</vt:lpstr>
      <vt:lpstr>8 Hébergement</vt:lpstr>
      <vt:lpstr>tableImport!_GoBack</vt:lpstr>
      <vt:lpstr>'1 Récapitulation'!Druckbereich</vt:lpstr>
      <vt:lpstr>'2 Aide matérielle'!Druckbereich</vt:lpstr>
      <vt:lpstr>'2a Bénéficiaires'!Druckbereich</vt:lpstr>
      <vt:lpstr>'2b Synthèse par commune'!Druckbereich</vt:lpstr>
      <vt:lpstr>'2c Liste de contrôle'!Druckbereich</vt:lpstr>
      <vt:lpstr>'2d Coûts particuliers'!Druckbereich</vt:lpstr>
      <vt:lpstr>'2e Soins médicaux d''urgence'!Druckbereich</vt:lpstr>
      <vt:lpstr>'3 Pensions alimentaires'!Druckbereich</vt:lpstr>
      <vt:lpstr>'3a Synthèse par commune'!Druckbereich</vt:lpstr>
      <vt:lpstr>'4 Forfaits par cas'!Druckbereich</vt:lpstr>
      <vt:lpstr>'4a Cas consultation préventive'!Druckbereich</vt:lpstr>
      <vt:lpstr>'4b Cas recouvrement et avances'!Druckbereich</vt:lpstr>
      <vt:lpstr>'7 Animation de jeunesse'!Druckbereich</vt:lpstr>
      <vt:lpstr>'8 Hébergement'!Druckbereich</vt:lpstr>
      <vt:lpstr>'2b Synthèse par commune'!Drucktitel</vt:lpstr>
      <vt:lpstr>tableImport!nrAbrechnungsstelle</vt:lpstr>
      <vt:lpstr>tableImport!nrAngeschlosseneGemeinde</vt:lpstr>
      <vt:lpstr>tableImport!refProdukt</vt:lpstr>
      <vt:lpstr>tableImport!refWertelement</vt:lpstr>
      <vt:lpstr>rtI.Anker2b</vt:lpstr>
      <vt:lpstr>rtI.Anker3a</vt:lpstr>
      <vt:lpstr>tblImport</vt:lpstr>
      <vt:lpstr>tableImport!wert</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Zbinden</dc:creator>
  <cp:lastModifiedBy>Zbinden Markus, GSI-AIS</cp:lastModifiedBy>
  <cp:lastPrinted>2024-07-04T13:25:49Z</cp:lastPrinted>
  <dcterms:created xsi:type="dcterms:W3CDTF">2004-03-12T08:59:06Z</dcterms:created>
  <dcterms:modified xsi:type="dcterms:W3CDTF">2024-09-11T13:44:01Z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0x010100064C068282801F4C8D25088CF0E46DDA00BD5E313B77026B4A91A65BDA9D087A2E</vt:lpwstr>
  </property>
  <property fmtid="{D5CDD505-2E9C-101B-9397-08002B2CF9AE}" pid="3" name="Projektnummer">
    <vt:lpwstr/>
  </property>
  <property fmtid="{D5CDD505-2E9C-101B-9397-08002B2CF9AE}" pid="4" name="Kunde">
    <vt:lpwstr/>
  </property>
  <property fmtid="{D5CDD505-2E9C-101B-9397-08002B2CF9AE}" pid="5" name="Release">
    <vt:lpwstr/>
  </property>
  <property fmtid="{D5CDD505-2E9C-101B-9397-08002B2CF9AE}" pid="6" name="Funktion">
    <vt:lpwstr/>
  </property>
  <property fmtid="{D5CDD505-2E9C-101B-9397-08002B2CF9AE}" pid="7" name="Dokumenttyp">
    <vt:lpwstr/>
  </property>
  <property fmtid="{D5CDD505-2E9C-101B-9397-08002B2CF9AE}" pid="8" name="Geschaeftsnummer">
    <vt:lpwstr/>
  </property>
  <property fmtid="{D5CDD505-2E9C-101B-9397-08002B2CF9AE}" pid="9" name="Stichworte">
    <vt:lpwstr/>
  </property>
  <property fmtid="{D5CDD505-2E9C-101B-9397-08002B2CF9AE}" pid="10" name="Modul">
    <vt:lpwstr/>
  </property>
  <property fmtid="{D5CDD505-2E9C-101B-9397-08002B2CF9AE}" pid="11" name="Produkt">
    <vt:lpwstr/>
  </property>
  <property fmtid="{D5CDD505-2E9C-101B-9397-08002B2CF9AE}" pid="12" name="MediaServiceImageTags">
    <vt:lpwstr/>
  </property>
  <property fmtid="{D5CDD505-2E9C-101B-9397-08002B2CF9AE}" pid="13" name="MSIP_Label_74fdd986-87d9-48c6-acda-407b1ab5fef0_Enabled">
    <vt:lpwstr>true</vt:lpwstr>
  </property>
  <property fmtid="{D5CDD505-2E9C-101B-9397-08002B2CF9AE}" pid="14" name="MSIP_Label_74fdd986-87d9-48c6-acda-407b1ab5fef0_SetDate">
    <vt:lpwstr>2024-06-11T13:01:45Z</vt:lpwstr>
  </property>
  <property fmtid="{D5CDD505-2E9C-101B-9397-08002B2CF9AE}" pid="15" name="MSIP_Label_74fdd986-87d9-48c6-acda-407b1ab5fef0_Method">
    <vt:lpwstr>Standard</vt:lpwstr>
  </property>
  <property fmtid="{D5CDD505-2E9C-101B-9397-08002B2CF9AE}" pid="16" name="MSIP_Label_74fdd986-87d9-48c6-acda-407b1ab5fef0_Name">
    <vt:lpwstr>NICHT KLASSIFIZIERT</vt:lpwstr>
  </property>
  <property fmtid="{D5CDD505-2E9C-101B-9397-08002B2CF9AE}" pid="17" name="MSIP_Label_74fdd986-87d9-48c6-acda-407b1ab5fef0_SiteId">
    <vt:lpwstr>cb96f99a-a111-42d7-9f65-e111197ba4bb</vt:lpwstr>
  </property>
  <property fmtid="{D5CDD505-2E9C-101B-9397-08002B2CF9AE}" pid="18" name="MSIP_Label_74fdd986-87d9-48c6-acda-407b1ab5fef0_ActionId">
    <vt:lpwstr>57d510c7-523c-4f63-82f4-57d27f9485e6</vt:lpwstr>
  </property>
  <property fmtid="{D5CDD505-2E9C-101B-9397-08002B2CF9AE}" pid="19" name="MSIP_Label_74fdd986-87d9-48c6-acda-407b1ab5fef0_ContentBits">
    <vt:lpwstr>0</vt:lpwstr>
  </property>
</Properties>
</file>