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ewastiftung.sharepoint.com/sites/PJ-2793-Berner-Modell/Freigegebene Dokumente/General/2 Ausführung/Hilfsmittel in Bearbeitung/"/>
    </mc:Choice>
  </mc:AlternateContent>
  <xr:revisionPtr revIDLastSave="238" documentId="8_{A14D2602-CBBA-42FA-B10F-DB02EC88CBC4}" xr6:coauthVersionLast="47" xr6:coauthVersionMax="47" xr10:uidLastSave="{31FB0E75-4CCA-4463-A24B-C16A593F653D}"/>
  <bookViews>
    <workbookView xWindow="-120" yWindow="-120" windowWidth="29040" windowHeight="15840" tabRatio="877" xr2:uid="{00000000-000D-0000-FFFF-FFFF00000000}"/>
  </bookViews>
  <sheets>
    <sheet name="Intro" sheetId="61" r:id="rId1"/>
    <sheet name="PA 1" sheetId="35" r:id="rId2"/>
    <sheet name="PA 2" sheetId="57" r:id="rId3"/>
    <sheet name="PA 3" sheetId="58" r:id="rId4"/>
    <sheet name="PA 4" sheetId="59" r:id="rId5"/>
    <sheet name="PA 5" sheetId="60" r:id="rId6"/>
    <sheet name="PA 6" sheetId="55" r:id="rId7"/>
    <sheet name="PA 7" sheetId="56" r:id="rId8"/>
    <sheet name="PA 8" sheetId="53" r:id="rId9"/>
    <sheet name="PA 9" sheetId="54" r:id="rId10"/>
    <sheet name="Attestation du salaire (simpl.)" sheetId="26" r:id="rId11"/>
    <sheet name="Attestation du salaire (ord.)" sheetId="34" r:id="rId12"/>
    <sheet name="CS 1" sheetId="44" r:id="rId13"/>
    <sheet name="CS 2" sheetId="45" r:id="rId14"/>
    <sheet name="CS 3" sheetId="46" r:id="rId15"/>
    <sheet name="CS 4" sheetId="47" r:id="rId16"/>
    <sheet name="CS 5" sheetId="48" r:id="rId17"/>
    <sheet name="CS 6" sheetId="49" r:id="rId18"/>
    <sheet name="CS 7" sheetId="50" r:id="rId19"/>
    <sheet name="CS 8" sheetId="51" r:id="rId20"/>
    <sheet name="CS 9" sheetId="52" r:id="rId21"/>
  </sheets>
  <definedNames>
    <definedName name="_xlnm.Print_Area" localSheetId="11">'Attestation du salaire (ord.)'!$A$1:$J$60</definedName>
    <definedName name="_xlnm.Print_Area" localSheetId="10">'Attestation du salaire (simpl.)'!$A$1:$I$55</definedName>
    <definedName name="_xlnm.Print_Area" localSheetId="0">Intro!$A$1:$K$45</definedName>
    <definedName name="_xlnm.Print_Area" localSheetId="1">'PA 1'!$A$1:$Q$64</definedName>
    <definedName name="_xlnm.Print_Area" localSheetId="2">'PA 2'!$A$1:$Q$64</definedName>
    <definedName name="_xlnm.Print_Area" localSheetId="3">'PA 3'!$A$1:$Q$64</definedName>
    <definedName name="_xlnm.Print_Area" localSheetId="4">'PA 4'!$A$1:$Q$64</definedName>
    <definedName name="_xlnm.Print_Area" localSheetId="5">'PA 5'!$A$1:$Q$64</definedName>
    <definedName name="_xlnm.Print_Area" localSheetId="6">'PA 6'!$A$1:$Q$64</definedName>
    <definedName name="_xlnm.Print_Area" localSheetId="7">'PA 7'!$A$1:$Q$64</definedName>
    <definedName name="_xlnm.Print_Area" localSheetId="8">'PA 8'!$A$1:$Q$64</definedName>
    <definedName name="_xlnm.Print_Area" localSheetId="9">'PA 9'!$A$1:$Q$64</definedName>
    <definedName name="Fehler">'PA 1'!$S$18</definedName>
    <definedName name="Fehler1">'PA 1'!$S$18</definedName>
    <definedName name="Fehler2">'PA 2'!$S$18</definedName>
    <definedName name="Fehler3">'PA 3'!$S$18</definedName>
    <definedName name="Fehler4">'PA 4'!$S$18</definedName>
    <definedName name="Fehler5">'PA 5'!$S$18</definedName>
    <definedName name="Fehler6">'PA 6'!$S$18</definedName>
    <definedName name="Fehler7">'PA 7'!$S$18</definedName>
    <definedName name="Fehler8">'PA 8'!$S$18</definedName>
    <definedName name="Fehler9">'PA 9'!$S$18</definedName>
    <definedName name="Geschlecht" localSheetId="13">#REF!</definedName>
    <definedName name="Geschlecht" localSheetId="15">#REF!</definedName>
    <definedName name="Geschlecht" localSheetId="17">#REF!</definedName>
    <definedName name="Geschlecht" localSheetId="19">#REF!</definedName>
    <definedName name="Geschlecht" localSheetId="20">#REF!</definedName>
    <definedName name="Geschlecht" localSheetId="2">#REF!</definedName>
    <definedName name="Geschlecht" localSheetId="4">#REF!</definedName>
    <definedName name="Geschlecht" localSheetId="5">#REF!</definedName>
    <definedName name="Geschlecht" localSheetId="6">#REF!</definedName>
    <definedName name="Geschlecht" localSheetId="7">#REF!</definedName>
    <definedName name="Geschlecht" localSheetId="8">#REF!</definedName>
    <definedName name="Geschlecht" localSheetId="9">#REF!</definedName>
    <definedName name="Geschlecht">#REF!</definedName>
    <definedName name="ja" localSheetId="1">#REF!</definedName>
    <definedName name="ja" localSheetId="2">#REF!</definedName>
    <definedName name="ja" localSheetId="3">#REF!</definedName>
    <definedName name="ja" localSheetId="4">#REF!</definedName>
    <definedName name="ja" localSheetId="5">#REF!</definedName>
    <definedName name="ja" localSheetId="6">#REF!</definedName>
    <definedName name="ja" localSheetId="7">#REF!</definedName>
    <definedName name="ja" localSheetId="8">#REF!</definedName>
    <definedName name="ja" localSheetId="9">#REF!</definedName>
    <definedName name="m_w" localSheetId="11">#REF!</definedName>
    <definedName name="m_w" localSheetId="13">#REF!</definedName>
    <definedName name="m_w" localSheetId="15">#REF!</definedName>
    <definedName name="m_w" localSheetId="17">#REF!</definedName>
    <definedName name="m_w" localSheetId="19">#REF!</definedName>
    <definedName name="m_w" localSheetId="20">#REF!</definedName>
    <definedName name="m_w" localSheetId="1">#REF!</definedName>
    <definedName name="m_w" localSheetId="2">#REF!</definedName>
    <definedName name="m_w" localSheetId="3">#REF!</definedName>
    <definedName name="m_w" localSheetId="4">#REF!</definedName>
    <definedName name="m_w" localSheetId="5">#REF!</definedName>
    <definedName name="m_w" localSheetId="6">#REF!</definedName>
    <definedName name="m_w" localSheetId="7">#REF!</definedName>
    <definedName name="m_w" localSheetId="8">#REF!</definedName>
    <definedName name="m_w" localSheetId="9">#REF!</definedName>
    <definedName name="m_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4" i="58" l="1"/>
  <c r="O64" i="58"/>
  <c r="N64" i="58"/>
  <c r="M64" i="58"/>
  <c r="L64" i="58"/>
  <c r="K64" i="58"/>
  <c r="I64" i="58"/>
  <c r="H64" i="58"/>
  <c r="G64" i="58"/>
  <c r="F64" i="58"/>
  <c r="E64" i="58"/>
  <c r="D64" i="58"/>
  <c r="C64" i="58"/>
  <c r="P63" i="58"/>
  <c r="O63" i="58"/>
  <c r="N63" i="58"/>
  <c r="M63" i="58"/>
  <c r="L63" i="58"/>
  <c r="K63" i="58"/>
  <c r="J63" i="58"/>
  <c r="I63" i="58"/>
  <c r="H63" i="58"/>
  <c r="G63" i="58"/>
  <c r="F63" i="58"/>
  <c r="E63" i="58"/>
  <c r="D63" i="58"/>
  <c r="C63" i="58"/>
  <c r="J62" i="58"/>
  <c r="I62" i="58"/>
  <c r="P61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C61" i="58"/>
  <c r="P64" i="59"/>
  <c r="O64" i="59"/>
  <c r="N64" i="59"/>
  <c r="M64" i="59"/>
  <c r="L64" i="59"/>
  <c r="K64" i="59"/>
  <c r="I64" i="59"/>
  <c r="H64" i="59"/>
  <c r="G64" i="59"/>
  <c r="F64" i="59"/>
  <c r="E64" i="59"/>
  <c r="D64" i="59"/>
  <c r="C64" i="59"/>
  <c r="P63" i="59"/>
  <c r="O63" i="59"/>
  <c r="N63" i="59"/>
  <c r="M63" i="59"/>
  <c r="L63" i="59"/>
  <c r="K63" i="59"/>
  <c r="J63" i="59"/>
  <c r="I63" i="59"/>
  <c r="H63" i="59"/>
  <c r="G63" i="59"/>
  <c r="F63" i="59"/>
  <c r="E63" i="59"/>
  <c r="D63" i="59"/>
  <c r="C63" i="59"/>
  <c r="J62" i="59"/>
  <c r="I62" i="59"/>
  <c r="P61" i="59"/>
  <c r="O61" i="59"/>
  <c r="N61" i="59"/>
  <c r="M61" i="59"/>
  <c r="L61" i="59"/>
  <c r="K61" i="59"/>
  <c r="J61" i="59"/>
  <c r="I61" i="59"/>
  <c r="H61" i="59"/>
  <c r="G61" i="59"/>
  <c r="F61" i="59"/>
  <c r="E61" i="59"/>
  <c r="D61" i="59"/>
  <c r="C61" i="59"/>
  <c r="P64" i="60"/>
  <c r="O64" i="60"/>
  <c r="N64" i="60"/>
  <c r="M64" i="60"/>
  <c r="L64" i="60"/>
  <c r="K64" i="60"/>
  <c r="I64" i="60"/>
  <c r="H64" i="60"/>
  <c r="G64" i="60"/>
  <c r="F64" i="60"/>
  <c r="E64" i="60"/>
  <c r="D64" i="60"/>
  <c r="C64" i="60"/>
  <c r="P63" i="60"/>
  <c r="O63" i="60"/>
  <c r="N63" i="60"/>
  <c r="M63" i="60"/>
  <c r="L63" i="60"/>
  <c r="K63" i="60"/>
  <c r="J63" i="60"/>
  <c r="I63" i="60"/>
  <c r="H63" i="60"/>
  <c r="G63" i="60"/>
  <c r="F63" i="60"/>
  <c r="E63" i="60"/>
  <c r="D63" i="60"/>
  <c r="C63" i="60"/>
  <c r="J62" i="60"/>
  <c r="I62" i="60"/>
  <c r="P61" i="60"/>
  <c r="O61" i="60"/>
  <c r="N61" i="60"/>
  <c r="M61" i="60"/>
  <c r="L61" i="60"/>
  <c r="K61" i="60"/>
  <c r="J61" i="60"/>
  <c r="I61" i="60"/>
  <c r="H61" i="60"/>
  <c r="G61" i="60"/>
  <c r="F61" i="60"/>
  <c r="E61" i="60"/>
  <c r="D61" i="60"/>
  <c r="C61" i="60"/>
  <c r="P64" i="55"/>
  <c r="O64" i="55"/>
  <c r="N64" i="55"/>
  <c r="M64" i="55"/>
  <c r="L64" i="55"/>
  <c r="K64" i="55"/>
  <c r="I64" i="55"/>
  <c r="H64" i="55"/>
  <c r="G64" i="55"/>
  <c r="F64" i="55"/>
  <c r="E64" i="55"/>
  <c r="D64" i="55"/>
  <c r="C64" i="55"/>
  <c r="P63" i="55"/>
  <c r="O63" i="55"/>
  <c r="N63" i="55"/>
  <c r="M63" i="55"/>
  <c r="L63" i="55"/>
  <c r="K63" i="55"/>
  <c r="J63" i="55"/>
  <c r="I63" i="55"/>
  <c r="H63" i="55"/>
  <c r="G63" i="55"/>
  <c r="F63" i="55"/>
  <c r="E63" i="55"/>
  <c r="D63" i="55"/>
  <c r="C63" i="55"/>
  <c r="J62" i="55"/>
  <c r="I62" i="55"/>
  <c r="P61" i="55"/>
  <c r="O61" i="55"/>
  <c r="N61" i="55"/>
  <c r="M61" i="55"/>
  <c r="L61" i="55"/>
  <c r="K61" i="55"/>
  <c r="J61" i="55"/>
  <c r="I61" i="55"/>
  <c r="H61" i="55"/>
  <c r="G61" i="55"/>
  <c r="F61" i="55"/>
  <c r="E61" i="55"/>
  <c r="D61" i="55"/>
  <c r="C61" i="55"/>
  <c r="P64" i="56"/>
  <c r="O64" i="56"/>
  <c r="N64" i="56"/>
  <c r="M64" i="56"/>
  <c r="L64" i="56"/>
  <c r="K64" i="56"/>
  <c r="I64" i="56"/>
  <c r="H64" i="56"/>
  <c r="G64" i="56"/>
  <c r="F64" i="56"/>
  <c r="E64" i="56"/>
  <c r="D64" i="56"/>
  <c r="C64" i="56"/>
  <c r="P63" i="56"/>
  <c r="O63" i="56"/>
  <c r="N63" i="56"/>
  <c r="M63" i="56"/>
  <c r="L63" i="56"/>
  <c r="K63" i="56"/>
  <c r="J63" i="56"/>
  <c r="I63" i="56"/>
  <c r="H63" i="56"/>
  <c r="G63" i="56"/>
  <c r="F63" i="56"/>
  <c r="E63" i="56"/>
  <c r="D63" i="56"/>
  <c r="C63" i="56"/>
  <c r="J62" i="56"/>
  <c r="I62" i="56"/>
  <c r="P61" i="56"/>
  <c r="O61" i="56"/>
  <c r="N61" i="56"/>
  <c r="M61" i="56"/>
  <c r="L61" i="56"/>
  <c r="K61" i="56"/>
  <c r="J61" i="56"/>
  <c r="I61" i="56"/>
  <c r="H61" i="56"/>
  <c r="G61" i="56"/>
  <c r="F61" i="56"/>
  <c r="E61" i="56"/>
  <c r="D61" i="56"/>
  <c r="C61" i="56"/>
  <c r="P64" i="53"/>
  <c r="O64" i="53"/>
  <c r="N64" i="53"/>
  <c r="M64" i="53"/>
  <c r="L64" i="53"/>
  <c r="K64" i="53"/>
  <c r="I64" i="53"/>
  <c r="H64" i="53"/>
  <c r="G64" i="53"/>
  <c r="F64" i="53"/>
  <c r="E64" i="53"/>
  <c r="D64" i="53"/>
  <c r="C64" i="53"/>
  <c r="P63" i="53"/>
  <c r="O63" i="53"/>
  <c r="N63" i="53"/>
  <c r="M63" i="53"/>
  <c r="L63" i="53"/>
  <c r="K63" i="53"/>
  <c r="J63" i="53"/>
  <c r="I63" i="53"/>
  <c r="H63" i="53"/>
  <c r="G63" i="53"/>
  <c r="F63" i="53"/>
  <c r="E63" i="53"/>
  <c r="D63" i="53"/>
  <c r="C63" i="53"/>
  <c r="J62" i="53"/>
  <c r="I62" i="53"/>
  <c r="P61" i="53"/>
  <c r="O61" i="53"/>
  <c r="N61" i="53"/>
  <c r="M61" i="53"/>
  <c r="L61" i="53"/>
  <c r="K61" i="53"/>
  <c r="J61" i="53"/>
  <c r="I61" i="53"/>
  <c r="H61" i="53"/>
  <c r="G61" i="53"/>
  <c r="F61" i="53"/>
  <c r="E61" i="53"/>
  <c r="D61" i="53"/>
  <c r="C61" i="53"/>
  <c r="P64" i="54"/>
  <c r="O64" i="54"/>
  <c r="N64" i="54"/>
  <c r="M64" i="54"/>
  <c r="L64" i="54"/>
  <c r="K64" i="54"/>
  <c r="H64" i="54"/>
  <c r="G64" i="54"/>
  <c r="F64" i="54"/>
  <c r="E64" i="54"/>
  <c r="D64" i="54"/>
  <c r="C64" i="54"/>
  <c r="P63" i="54"/>
  <c r="O63" i="54"/>
  <c r="N63" i="54"/>
  <c r="M63" i="54"/>
  <c r="L63" i="54"/>
  <c r="K63" i="54"/>
  <c r="H63" i="54"/>
  <c r="G63" i="54"/>
  <c r="F63" i="54"/>
  <c r="E63" i="54"/>
  <c r="D63" i="54"/>
  <c r="C63" i="54"/>
  <c r="P61" i="54"/>
  <c r="O61" i="54"/>
  <c r="N61" i="54"/>
  <c r="M61" i="54"/>
  <c r="L61" i="54"/>
  <c r="K61" i="54"/>
  <c r="H61" i="54"/>
  <c r="G61" i="54"/>
  <c r="F61" i="54"/>
  <c r="E61" i="54"/>
  <c r="D61" i="54"/>
  <c r="C61" i="54"/>
  <c r="P64" i="57"/>
  <c r="O64" i="57"/>
  <c r="N64" i="57"/>
  <c r="M64" i="57"/>
  <c r="L64" i="57"/>
  <c r="K64" i="57"/>
  <c r="H64" i="57"/>
  <c r="G64" i="57"/>
  <c r="F64" i="57"/>
  <c r="E64" i="57"/>
  <c r="D64" i="57"/>
  <c r="C64" i="57"/>
  <c r="P63" i="57"/>
  <c r="O63" i="57"/>
  <c r="N63" i="57"/>
  <c r="M63" i="57"/>
  <c r="L63" i="57"/>
  <c r="K63" i="57"/>
  <c r="H63" i="57"/>
  <c r="G63" i="57"/>
  <c r="F63" i="57"/>
  <c r="E63" i="57"/>
  <c r="D63" i="57"/>
  <c r="C63" i="57"/>
  <c r="P61" i="57"/>
  <c r="O61" i="57"/>
  <c r="N61" i="57"/>
  <c r="M61" i="57"/>
  <c r="L61" i="57"/>
  <c r="K61" i="57"/>
  <c r="H61" i="57"/>
  <c r="G61" i="57"/>
  <c r="F61" i="57"/>
  <c r="E61" i="57"/>
  <c r="D61" i="57"/>
  <c r="C61" i="57"/>
  <c r="P64" i="35"/>
  <c r="O64" i="35"/>
  <c r="N64" i="35"/>
  <c r="M64" i="35"/>
  <c r="L64" i="35"/>
  <c r="K64" i="35"/>
  <c r="P63" i="35"/>
  <c r="O63" i="35"/>
  <c r="N63" i="35"/>
  <c r="M63" i="35"/>
  <c r="L63" i="35"/>
  <c r="K63" i="35"/>
  <c r="P61" i="35"/>
  <c r="O61" i="35"/>
  <c r="N61" i="35"/>
  <c r="M61" i="35"/>
  <c r="L61" i="35"/>
  <c r="K61" i="35"/>
  <c r="H64" i="35"/>
  <c r="G64" i="35"/>
  <c r="F64" i="35"/>
  <c r="E64" i="35"/>
  <c r="D64" i="35"/>
  <c r="H63" i="35"/>
  <c r="G63" i="35"/>
  <c r="F63" i="35"/>
  <c r="E63" i="35"/>
  <c r="D63" i="35"/>
  <c r="H61" i="35"/>
  <c r="G61" i="35"/>
  <c r="F61" i="35"/>
  <c r="E61" i="35"/>
  <c r="D61" i="35"/>
  <c r="C63" i="35"/>
  <c r="C61" i="35"/>
  <c r="S20" i="58" l="1"/>
  <c r="S20" i="59"/>
  <c r="S20" i="60"/>
  <c r="S20" i="55"/>
  <c r="S20" i="56"/>
  <c r="S20" i="53"/>
  <c r="S20" i="54"/>
  <c r="S20" i="57"/>
  <c r="Y9" i="53"/>
  <c r="Y9" i="56"/>
  <c r="Y9" i="55"/>
  <c r="Y9" i="60"/>
  <c r="Y9" i="59"/>
  <c r="Y9" i="58"/>
  <c r="A45" i="58"/>
  <c r="A45" i="59"/>
  <c r="A45" i="60"/>
  <c r="A45" i="55"/>
  <c r="A45" i="56"/>
  <c r="A45" i="53"/>
  <c r="D71" i="52"/>
  <c r="D71" i="51"/>
  <c r="D71" i="50"/>
  <c r="D71" i="49"/>
  <c r="D71" i="48"/>
  <c r="D71" i="47"/>
  <c r="D71" i="46"/>
  <c r="D71" i="45"/>
  <c r="M83" i="52"/>
  <c r="M83" i="51"/>
  <c r="M83" i="50"/>
  <c r="M83" i="49"/>
  <c r="M83" i="48"/>
  <c r="M83" i="47"/>
  <c r="M83" i="46"/>
  <c r="M83" i="45"/>
  <c r="D71" i="44"/>
  <c r="C64" i="35"/>
  <c r="A64" i="57"/>
  <c r="I64" i="57" s="1"/>
  <c r="A64" i="58"/>
  <c r="A64" i="59"/>
  <c r="A64" i="60"/>
  <c r="A64" i="55"/>
  <c r="A64" i="56"/>
  <c r="A64" i="53"/>
  <c r="A64" i="54"/>
  <c r="I64" i="54" s="1"/>
  <c r="A64" i="35"/>
  <c r="I64" i="35" s="1"/>
  <c r="A63" i="57"/>
  <c r="I63" i="57" s="1"/>
  <c r="A63" i="58"/>
  <c r="A63" i="59"/>
  <c r="A63" i="60"/>
  <c r="A63" i="55"/>
  <c r="A63" i="56"/>
  <c r="A63" i="53"/>
  <c r="A63" i="54"/>
  <c r="I63" i="54" s="1"/>
  <c r="A63" i="35"/>
  <c r="Q64" i="57"/>
  <c r="Q64" i="58"/>
  <c r="Q64" i="59"/>
  <c r="Q64" i="60"/>
  <c r="Q64" i="55"/>
  <c r="Q64" i="56"/>
  <c r="Q64" i="53"/>
  <c r="Q64" i="54"/>
  <c r="S33" i="58"/>
  <c r="S33" i="59"/>
  <c r="S33" i="60"/>
  <c r="S33" i="55"/>
  <c r="S33" i="56"/>
  <c r="S33" i="53"/>
  <c r="S33" i="54"/>
  <c r="S33" i="57"/>
  <c r="Q64" i="35" l="1"/>
  <c r="H5" i="52" l="1" a="1"/>
  <c r="H5" i="52" s="1"/>
  <c r="H5" i="51" a="1"/>
  <c r="H5" i="51" s="1"/>
  <c r="H5" i="50" a="1"/>
  <c r="H5" i="50" s="1"/>
  <c r="H5" i="49" a="1"/>
  <c r="H5" i="49" s="1"/>
  <c r="H5" i="48" a="1"/>
  <c r="H5" i="48" s="1"/>
  <c r="H5" i="47" a="1"/>
  <c r="H5" i="47" s="1"/>
  <c r="H5" i="46" a="1"/>
  <c r="H5" i="46" s="1"/>
  <c r="H5" i="45" a="1"/>
  <c r="H5" i="45" s="1"/>
  <c r="H5" i="44" a="1"/>
  <c r="H5" i="44" s="1"/>
  <c r="A25" i="58"/>
  <c r="I25" i="58" s="1"/>
  <c r="A24" i="58"/>
  <c r="I24" i="58" s="1"/>
  <c r="P23" i="58"/>
  <c r="O23" i="58"/>
  <c r="N23" i="58"/>
  <c r="M23" i="58"/>
  <c r="L23" i="58"/>
  <c r="K23" i="58"/>
  <c r="H23" i="58"/>
  <c r="G23" i="58"/>
  <c r="F23" i="58"/>
  <c r="E23" i="58"/>
  <c r="D23" i="58"/>
  <c r="C23" i="58"/>
  <c r="A23" i="58"/>
  <c r="B23" i="58" s="1"/>
  <c r="P22" i="58"/>
  <c r="O22" i="58"/>
  <c r="N22" i="58"/>
  <c r="M22" i="58"/>
  <c r="L22" i="58"/>
  <c r="K22" i="58"/>
  <c r="H22" i="58"/>
  <c r="G22" i="58"/>
  <c r="F22" i="58"/>
  <c r="E22" i="58"/>
  <c r="D22" i="58"/>
  <c r="C22" i="58"/>
  <c r="A22" i="58"/>
  <c r="I22" i="58" s="1"/>
  <c r="J22" i="58" s="1"/>
  <c r="A25" i="59"/>
  <c r="I25" i="59" s="1"/>
  <c r="A24" i="59"/>
  <c r="I24" i="59" s="1"/>
  <c r="P23" i="59"/>
  <c r="O23" i="59"/>
  <c r="N23" i="59"/>
  <c r="M23" i="59"/>
  <c r="L23" i="59"/>
  <c r="K23" i="59"/>
  <c r="H23" i="59"/>
  <c r="G23" i="59"/>
  <c r="F23" i="59"/>
  <c r="E23" i="59"/>
  <c r="D23" i="59"/>
  <c r="C23" i="59"/>
  <c r="A23" i="59"/>
  <c r="B23" i="59" s="1"/>
  <c r="P22" i="59"/>
  <c r="O22" i="59"/>
  <c r="N22" i="59"/>
  <c r="M22" i="59"/>
  <c r="L22" i="59"/>
  <c r="K22" i="59"/>
  <c r="H22" i="59"/>
  <c r="G22" i="59"/>
  <c r="F22" i="59"/>
  <c r="E22" i="59"/>
  <c r="D22" i="59"/>
  <c r="C22" i="59"/>
  <c r="A22" i="59"/>
  <c r="I22" i="59" s="1"/>
  <c r="J22" i="59" s="1"/>
  <c r="A25" i="60"/>
  <c r="I25" i="60" s="1"/>
  <c r="A24" i="60"/>
  <c r="I24" i="60" s="1"/>
  <c r="P23" i="60"/>
  <c r="O23" i="60"/>
  <c r="N23" i="60"/>
  <c r="M23" i="60"/>
  <c r="L23" i="60"/>
  <c r="K23" i="60"/>
  <c r="H23" i="60"/>
  <c r="G23" i="60"/>
  <c r="F23" i="60"/>
  <c r="E23" i="60"/>
  <c r="D23" i="60"/>
  <c r="C23" i="60"/>
  <c r="A23" i="60"/>
  <c r="I23" i="60" s="1"/>
  <c r="J23" i="60" s="1"/>
  <c r="P22" i="60"/>
  <c r="O22" i="60"/>
  <c r="N22" i="60"/>
  <c r="M22" i="60"/>
  <c r="L22" i="60"/>
  <c r="K22" i="60"/>
  <c r="H22" i="60"/>
  <c r="G22" i="60"/>
  <c r="F22" i="60"/>
  <c r="E22" i="60"/>
  <c r="D22" i="60"/>
  <c r="C22" i="60"/>
  <c r="A22" i="60"/>
  <c r="I22" i="60" s="1"/>
  <c r="J22" i="60" s="1"/>
  <c r="A25" i="55"/>
  <c r="I25" i="55" s="1"/>
  <c r="A24" i="55"/>
  <c r="I24" i="55" s="1"/>
  <c r="P23" i="55"/>
  <c r="O23" i="55"/>
  <c r="N23" i="55"/>
  <c r="M23" i="55"/>
  <c r="L23" i="55"/>
  <c r="K23" i="55"/>
  <c r="H23" i="55"/>
  <c r="G23" i="55"/>
  <c r="F23" i="55"/>
  <c r="E23" i="55"/>
  <c r="D23" i="55"/>
  <c r="C23" i="55"/>
  <c r="A23" i="55"/>
  <c r="I23" i="55" s="1"/>
  <c r="J23" i="55" s="1"/>
  <c r="P22" i="55"/>
  <c r="O22" i="55"/>
  <c r="N22" i="55"/>
  <c r="M22" i="55"/>
  <c r="L22" i="55"/>
  <c r="K22" i="55"/>
  <c r="H22" i="55"/>
  <c r="G22" i="55"/>
  <c r="F22" i="55"/>
  <c r="E22" i="55"/>
  <c r="D22" i="55"/>
  <c r="C22" i="55"/>
  <c r="A22" i="55"/>
  <c r="I22" i="55" s="1"/>
  <c r="J22" i="55" s="1"/>
  <c r="A25" i="56"/>
  <c r="I25" i="56" s="1"/>
  <c r="A24" i="56"/>
  <c r="I24" i="56" s="1"/>
  <c r="P23" i="56"/>
  <c r="O23" i="56"/>
  <c r="N23" i="56"/>
  <c r="M23" i="56"/>
  <c r="L23" i="56"/>
  <c r="K23" i="56"/>
  <c r="H23" i="56"/>
  <c r="G23" i="56"/>
  <c r="F23" i="56"/>
  <c r="E23" i="56"/>
  <c r="D23" i="56"/>
  <c r="C23" i="56"/>
  <c r="A23" i="56"/>
  <c r="B23" i="56" s="1"/>
  <c r="P22" i="56"/>
  <c r="O22" i="56"/>
  <c r="N22" i="56"/>
  <c r="M22" i="56"/>
  <c r="L22" i="56"/>
  <c r="K22" i="56"/>
  <c r="H22" i="56"/>
  <c r="G22" i="56"/>
  <c r="F22" i="56"/>
  <c r="E22" i="56"/>
  <c r="D22" i="56"/>
  <c r="C22" i="56"/>
  <c r="A22" i="56"/>
  <c r="B22" i="56" s="1"/>
  <c r="A25" i="53"/>
  <c r="I25" i="53" s="1"/>
  <c r="A24" i="53"/>
  <c r="I24" i="53" s="1"/>
  <c r="P23" i="53"/>
  <c r="O23" i="53"/>
  <c r="N23" i="53"/>
  <c r="M23" i="53"/>
  <c r="L23" i="53"/>
  <c r="K23" i="53"/>
  <c r="H23" i="53"/>
  <c r="G23" i="53"/>
  <c r="F23" i="53"/>
  <c r="E23" i="53"/>
  <c r="D23" i="53"/>
  <c r="C23" i="53"/>
  <c r="A23" i="53"/>
  <c r="B23" i="53" s="1"/>
  <c r="P22" i="53"/>
  <c r="O22" i="53"/>
  <c r="N22" i="53"/>
  <c r="M22" i="53"/>
  <c r="L22" i="53"/>
  <c r="K22" i="53"/>
  <c r="H22" i="53"/>
  <c r="G22" i="53"/>
  <c r="F22" i="53"/>
  <c r="E22" i="53"/>
  <c r="D22" i="53"/>
  <c r="C22" i="53"/>
  <c r="A22" i="53"/>
  <c r="I22" i="53" s="1"/>
  <c r="J22" i="53" s="1"/>
  <c r="A25" i="54"/>
  <c r="I25" i="54" s="1"/>
  <c r="A24" i="54"/>
  <c r="I24" i="54" s="1"/>
  <c r="P23" i="54"/>
  <c r="O23" i="54"/>
  <c r="N23" i="54"/>
  <c r="M23" i="54"/>
  <c r="L23" i="54"/>
  <c r="K23" i="54"/>
  <c r="H23" i="54"/>
  <c r="G23" i="54"/>
  <c r="F23" i="54"/>
  <c r="E23" i="54"/>
  <c r="D23" i="54"/>
  <c r="C23" i="54"/>
  <c r="A23" i="54"/>
  <c r="B23" i="54" s="1"/>
  <c r="P22" i="54"/>
  <c r="O22" i="54"/>
  <c r="N22" i="54"/>
  <c r="M22" i="54"/>
  <c r="L22" i="54"/>
  <c r="K22" i="54"/>
  <c r="H22" i="54"/>
  <c r="G22" i="54"/>
  <c r="F22" i="54"/>
  <c r="E22" i="54"/>
  <c r="D22" i="54"/>
  <c r="C22" i="54"/>
  <c r="A22" i="54"/>
  <c r="I22" i="54" s="1"/>
  <c r="J22" i="54" s="1"/>
  <c r="A25" i="57"/>
  <c r="I25" i="57" s="1"/>
  <c r="A24" i="57"/>
  <c r="I24" i="57" s="1"/>
  <c r="P23" i="57"/>
  <c r="O23" i="57"/>
  <c r="N23" i="57"/>
  <c r="M23" i="57"/>
  <c r="L23" i="57"/>
  <c r="K23" i="57"/>
  <c r="H23" i="57"/>
  <c r="G23" i="57"/>
  <c r="F23" i="57"/>
  <c r="E23" i="57"/>
  <c r="D23" i="57"/>
  <c r="C23" i="57"/>
  <c r="A23" i="57"/>
  <c r="I23" i="57" s="1"/>
  <c r="J23" i="57" s="1"/>
  <c r="P22" i="57"/>
  <c r="O22" i="57"/>
  <c r="N22" i="57"/>
  <c r="M22" i="57"/>
  <c r="L22" i="57"/>
  <c r="K22" i="57"/>
  <c r="H22" i="57"/>
  <c r="G22" i="57"/>
  <c r="F22" i="57"/>
  <c r="E22" i="57"/>
  <c r="D22" i="57"/>
  <c r="C22" i="57"/>
  <c r="A22" i="57"/>
  <c r="B22" i="57" s="1"/>
  <c r="A25" i="35"/>
  <c r="I22" i="57" l="1"/>
  <c r="J22" i="57" s="1"/>
  <c r="I23" i="54"/>
  <c r="J23" i="54" s="1"/>
  <c r="I23" i="53"/>
  <c r="J23" i="53" s="1"/>
  <c r="I22" i="56"/>
  <c r="J22" i="56" s="1"/>
  <c r="I23" i="56"/>
  <c r="J23" i="56" s="1"/>
  <c r="I23" i="59"/>
  <c r="J23" i="59" s="1"/>
  <c r="I23" i="58"/>
  <c r="J23" i="58" s="1"/>
  <c r="B23" i="57"/>
  <c r="B24" i="57"/>
  <c r="J24" i="57" s="1"/>
  <c r="B25" i="57"/>
  <c r="J25" i="57" s="1"/>
  <c r="B22" i="54"/>
  <c r="B24" i="54"/>
  <c r="J24" i="54" s="1"/>
  <c r="B25" i="54"/>
  <c r="J25" i="54" s="1"/>
  <c r="B22" i="53"/>
  <c r="B24" i="53"/>
  <c r="J24" i="53" s="1"/>
  <c r="B25" i="53"/>
  <c r="J25" i="53" s="1"/>
  <c r="B24" i="56"/>
  <c r="J24" i="56" s="1"/>
  <c r="B25" i="56"/>
  <c r="J25" i="56" s="1"/>
  <c r="B22" i="55"/>
  <c r="B23" i="55"/>
  <c r="B24" i="55"/>
  <c r="J24" i="55" s="1"/>
  <c r="B25" i="55"/>
  <c r="J25" i="55" s="1"/>
  <c r="B22" i="60"/>
  <c r="B23" i="60"/>
  <c r="B24" i="60"/>
  <c r="J24" i="60" s="1"/>
  <c r="B25" i="60"/>
  <c r="J25" i="60" s="1"/>
  <c r="B22" i="59"/>
  <c r="B24" i="59"/>
  <c r="J24" i="59" s="1"/>
  <c r="B25" i="59"/>
  <c r="J25" i="59" s="1"/>
  <c r="B22" i="58"/>
  <c r="B24" i="58"/>
  <c r="J24" i="58" s="1"/>
  <c r="B25" i="58"/>
  <c r="J25" i="58" s="1"/>
  <c r="T8" i="57" l="1"/>
  <c r="T8" i="58"/>
  <c r="T8" i="59"/>
  <c r="T8" i="60"/>
  <c r="T8" i="55"/>
  <c r="T8" i="56"/>
  <c r="T8" i="53"/>
  <c r="T8" i="54"/>
  <c r="T8" i="35"/>
  <c r="I13" i="57" l="1"/>
  <c r="I13" i="58"/>
  <c r="I13" i="59"/>
  <c r="I13" i="60"/>
  <c r="I13" i="55"/>
  <c r="I13" i="56"/>
  <c r="I13" i="53"/>
  <c r="I13" i="54"/>
  <c r="I13" i="35"/>
  <c r="N10" i="57"/>
  <c r="N10" i="58"/>
  <c r="N10" i="59"/>
  <c r="N10" i="60"/>
  <c r="N10" i="55"/>
  <c r="N10" i="56"/>
  <c r="N10" i="53"/>
  <c r="N10" i="54"/>
  <c r="N10" i="35"/>
  <c r="I9" i="57"/>
  <c r="I9" i="58"/>
  <c r="I9" i="59"/>
  <c r="I9" i="60"/>
  <c r="I9" i="55"/>
  <c r="I9" i="56"/>
  <c r="I9" i="53"/>
  <c r="I9" i="54"/>
  <c r="I9" i="35"/>
  <c r="N6" i="57"/>
  <c r="N6" i="58"/>
  <c r="N6" i="59"/>
  <c r="N6" i="60"/>
  <c r="N6" i="55"/>
  <c r="N6" i="56"/>
  <c r="N6" i="53"/>
  <c r="N6" i="54"/>
  <c r="N6" i="35"/>
  <c r="E10" i="57"/>
  <c r="E10" i="58"/>
  <c r="E10" i="59"/>
  <c r="E10" i="60"/>
  <c r="E10" i="55"/>
  <c r="E10" i="56"/>
  <c r="E10" i="53"/>
  <c r="E10" i="54"/>
  <c r="E10" i="35"/>
  <c r="N7" i="57"/>
  <c r="N7" i="58"/>
  <c r="N7" i="59"/>
  <c r="N7" i="60"/>
  <c r="N7" i="55"/>
  <c r="N7" i="56"/>
  <c r="N7" i="53"/>
  <c r="N7" i="54"/>
  <c r="A24" i="35"/>
  <c r="B24" i="35" s="1"/>
  <c r="N7" i="35"/>
  <c r="A60" i="57"/>
  <c r="A60" i="58"/>
  <c r="A60" i="59"/>
  <c r="A60" i="60"/>
  <c r="A60" i="55"/>
  <c r="A60" i="56"/>
  <c r="A60" i="53"/>
  <c r="A60" i="54"/>
  <c r="A60" i="35"/>
  <c r="B63" i="57"/>
  <c r="J63" i="57" s="1"/>
  <c r="A62" i="57"/>
  <c r="I62" i="57" s="1"/>
  <c r="A61" i="57"/>
  <c r="I61" i="57" s="1"/>
  <c r="B63" i="58"/>
  <c r="A62" i="58"/>
  <c r="A61" i="58"/>
  <c r="B63" i="59"/>
  <c r="A62" i="59"/>
  <c r="A61" i="59"/>
  <c r="B63" i="60"/>
  <c r="A62" i="60"/>
  <c r="A61" i="60"/>
  <c r="B63" i="55"/>
  <c r="A62" i="55"/>
  <c r="A61" i="55"/>
  <c r="B63" i="56"/>
  <c r="A62" i="56"/>
  <c r="A61" i="56"/>
  <c r="B63" i="53"/>
  <c r="A62" i="53"/>
  <c r="A61" i="53"/>
  <c r="B63" i="54"/>
  <c r="J63" i="54" s="1"/>
  <c r="A62" i="54"/>
  <c r="I62" i="54" s="1"/>
  <c r="A61" i="54"/>
  <c r="I61" i="54" s="1"/>
  <c r="B63" i="35"/>
  <c r="A62" i="35"/>
  <c r="A61" i="35"/>
  <c r="A42" i="57" l="1"/>
  <c r="A42" i="58"/>
  <c r="A42" i="59"/>
  <c r="A42" i="60"/>
  <c r="A42" i="55"/>
  <c r="A42" i="56"/>
  <c r="A42" i="53"/>
  <c r="A42" i="54"/>
  <c r="A42" i="35"/>
  <c r="A43" i="57"/>
  <c r="A43" i="58"/>
  <c r="A43" i="59"/>
  <c r="A43" i="60"/>
  <c r="A43" i="55"/>
  <c r="A43" i="56"/>
  <c r="A43" i="53"/>
  <c r="A43" i="54"/>
  <c r="A43" i="35"/>
  <c r="A46" i="35"/>
  <c r="B46" i="35" s="1"/>
  <c r="Z6" i="57"/>
  <c r="Y9" i="57" s="1"/>
  <c r="A45" i="57" s="1"/>
  <c r="Z11" i="57" l="1"/>
  <c r="Z11" i="58"/>
  <c r="Z6" i="58"/>
  <c r="Z11" i="59"/>
  <c r="Z6" i="59"/>
  <c r="Z11" i="60"/>
  <c r="Z6" i="60"/>
  <c r="Z11" i="55"/>
  <c r="Z6" i="55"/>
  <c r="Z11" i="56"/>
  <c r="Z6" i="56"/>
  <c r="Z11" i="53"/>
  <c r="Z6" i="53"/>
  <c r="Z11" i="54"/>
  <c r="Z6" i="54"/>
  <c r="Y9" i="54" s="1"/>
  <c r="A45" i="54" s="1"/>
  <c r="Z11" i="35"/>
  <c r="A29" i="35"/>
  <c r="B25" i="35"/>
  <c r="J25" i="35" l="1"/>
  <c r="J24" i="35"/>
  <c r="A30" i="57"/>
  <c r="B30" i="57" s="1"/>
  <c r="A30" i="58"/>
  <c r="B30" i="58" s="1"/>
  <c r="A30" i="59"/>
  <c r="B30" i="59" s="1"/>
  <c r="A30" i="60"/>
  <c r="B30" i="60" s="1"/>
  <c r="A30" i="55"/>
  <c r="B30" i="55" s="1"/>
  <c r="A30" i="56"/>
  <c r="B30" i="56" s="1"/>
  <c r="A30" i="53"/>
  <c r="B30" i="53" s="1"/>
  <c r="A30" i="54"/>
  <c r="B30" i="54" s="1"/>
  <c r="A30" i="35"/>
  <c r="B30" i="35" s="1"/>
  <c r="B62" i="57"/>
  <c r="J62" i="57" s="1"/>
  <c r="B61" i="57"/>
  <c r="J61" i="57" s="1"/>
  <c r="B62" i="58"/>
  <c r="B61" i="58"/>
  <c r="B62" i="59"/>
  <c r="B61" i="59"/>
  <c r="B62" i="60"/>
  <c r="B61" i="60"/>
  <c r="B62" i="55"/>
  <c r="B61" i="55"/>
  <c r="B62" i="56"/>
  <c r="B61" i="56"/>
  <c r="B62" i="53"/>
  <c r="B61" i="53"/>
  <c r="B62" i="54"/>
  <c r="J62" i="54" s="1"/>
  <c r="B61" i="54"/>
  <c r="J61" i="54" s="1"/>
  <c r="B62" i="35"/>
  <c r="B61" i="35"/>
  <c r="N9" i="57"/>
  <c r="N9" i="58"/>
  <c r="N9" i="59"/>
  <c r="N9" i="60"/>
  <c r="N9" i="55"/>
  <c r="N9" i="56"/>
  <c r="N9" i="53"/>
  <c r="N9" i="54"/>
  <c r="N9" i="35"/>
  <c r="I12" i="57"/>
  <c r="I12" i="58"/>
  <c r="I12" i="59"/>
  <c r="I12" i="60"/>
  <c r="I12" i="55"/>
  <c r="I12" i="56"/>
  <c r="I12" i="53"/>
  <c r="I12" i="54"/>
  <c r="I12" i="35"/>
  <c r="I7" i="57"/>
  <c r="I7" i="58"/>
  <c r="I7" i="59"/>
  <c r="I7" i="60"/>
  <c r="I7" i="55"/>
  <c r="I7" i="56"/>
  <c r="I7" i="53"/>
  <c r="I7" i="54"/>
  <c r="I7" i="35"/>
  <c r="K14" i="58"/>
  <c r="K14" i="59"/>
  <c r="K14" i="60"/>
  <c r="K14" i="55"/>
  <c r="K14" i="56"/>
  <c r="K14" i="53"/>
  <c r="L1" i="54" l="1"/>
  <c r="D41" i="26" l="1"/>
  <c r="D39" i="26"/>
  <c r="D37" i="26"/>
  <c r="D35" i="26"/>
  <c r="D33" i="26"/>
  <c r="D31" i="26"/>
  <c r="D29" i="26"/>
  <c r="D27" i="26"/>
  <c r="D25" i="26"/>
  <c r="D38" i="34"/>
  <c r="D36" i="34"/>
  <c r="D34" i="34"/>
  <c r="D32" i="34"/>
  <c r="D30" i="34"/>
  <c r="D28" i="34"/>
  <c r="D26" i="34"/>
  <c r="D24" i="34"/>
  <c r="D22" i="34"/>
  <c r="Q10" i="58"/>
  <c r="Q10" i="59"/>
  <c r="Q10" i="60"/>
  <c r="Q10" i="55"/>
  <c r="Q10" i="56"/>
  <c r="Q10" i="53"/>
  <c r="Q10" i="54"/>
  <c r="Q10" i="57"/>
  <c r="Q7" i="58"/>
  <c r="Q7" i="59"/>
  <c r="Q7" i="60"/>
  <c r="Q7" i="55"/>
  <c r="Q7" i="56"/>
  <c r="Q7" i="53"/>
  <c r="Q7" i="54"/>
  <c r="Q7" i="57"/>
  <c r="Q10" i="35"/>
  <c r="Q7" i="35"/>
  <c r="AC6" i="57"/>
  <c r="S28" i="57" s="1"/>
  <c r="AC6" i="58"/>
  <c r="S28" i="58" s="1"/>
  <c r="AC6" i="59"/>
  <c r="S28" i="59" s="1"/>
  <c r="AC6" i="60"/>
  <c r="S28" i="60" s="1"/>
  <c r="AC6" i="55"/>
  <c r="S28" i="55" s="1"/>
  <c r="AC6" i="56"/>
  <c r="S28" i="56" s="1"/>
  <c r="AC6" i="53"/>
  <c r="S28" i="53" s="1"/>
  <c r="AC6" i="54"/>
  <c r="S28" i="54" s="1"/>
  <c r="AC6" i="35"/>
  <c r="S28" i="35" s="1"/>
  <c r="A46" i="57"/>
  <c r="Z12" i="57"/>
  <c r="Z7" i="57"/>
  <c r="A46" i="58"/>
  <c r="Z12" i="58"/>
  <c r="Z7" i="58"/>
  <c r="A46" i="59"/>
  <c r="Z12" i="59"/>
  <c r="Z7" i="59"/>
  <c r="A46" i="60"/>
  <c r="Z12" i="60"/>
  <c r="Z7" i="60"/>
  <c r="A46" i="55"/>
  <c r="Z12" i="55"/>
  <c r="Z7" i="55"/>
  <c r="A46" i="56"/>
  <c r="Z12" i="56"/>
  <c r="Z7" i="56"/>
  <c r="A46" i="53"/>
  <c r="Z12" i="53"/>
  <c r="Z7" i="53"/>
  <c r="A46" i="54"/>
  <c r="Z12" i="54"/>
  <c r="Z7" i="54"/>
  <c r="Z12" i="35"/>
  <c r="Z7" i="35"/>
  <c r="Z6" i="35"/>
  <c r="Y9" i="35" s="1"/>
  <c r="A45" i="35" s="1"/>
  <c r="AJ35" i="57"/>
  <c r="AI35" i="57"/>
  <c r="AH35" i="57"/>
  <c r="AG35" i="57"/>
  <c r="AF35" i="57"/>
  <c r="AE35" i="57"/>
  <c r="AD35" i="57"/>
  <c r="AC35" i="57"/>
  <c r="AB35" i="57"/>
  <c r="AA35" i="57"/>
  <c r="Z35" i="57"/>
  <c r="Y35" i="57"/>
  <c r="T9" i="57"/>
  <c r="A41" i="57" s="1"/>
  <c r="AJ35" i="58"/>
  <c r="AI35" i="58"/>
  <c r="AH35" i="58"/>
  <c r="AG35" i="58"/>
  <c r="AF35" i="58"/>
  <c r="AE35" i="58"/>
  <c r="AD35" i="58"/>
  <c r="AC35" i="58"/>
  <c r="AB35" i="58"/>
  <c r="AA35" i="58"/>
  <c r="Z35" i="58"/>
  <c r="Y35" i="58"/>
  <c r="T9" i="58"/>
  <c r="A41" i="58" s="1"/>
  <c r="AJ35" i="59"/>
  <c r="AI35" i="59"/>
  <c r="AH35" i="59"/>
  <c r="AG35" i="59"/>
  <c r="AF35" i="59"/>
  <c r="AE35" i="59"/>
  <c r="AD35" i="59"/>
  <c r="AC35" i="59"/>
  <c r="AB35" i="59"/>
  <c r="AA35" i="59"/>
  <c r="Z35" i="59"/>
  <c r="Y35" i="59"/>
  <c r="T9" i="59"/>
  <c r="A41" i="59" s="1"/>
  <c r="AJ35" i="60"/>
  <c r="AI35" i="60"/>
  <c r="AH35" i="60"/>
  <c r="AG35" i="60"/>
  <c r="AF35" i="60"/>
  <c r="AE35" i="60"/>
  <c r="AD35" i="60"/>
  <c r="AC35" i="60"/>
  <c r="AB35" i="60"/>
  <c r="AA35" i="60"/>
  <c r="Z35" i="60"/>
  <c r="Y35" i="60"/>
  <c r="T9" i="60"/>
  <c r="A41" i="60" s="1"/>
  <c r="AJ35" i="55"/>
  <c r="AI35" i="55"/>
  <c r="AH35" i="55"/>
  <c r="AG35" i="55"/>
  <c r="AF35" i="55"/>
  <c r="AE35" i="55"/>
  <c r="AD35" i="55"/>
  <c r="AC35" i="55"/>
  <c r="AB35" i="55"/>
  <c r="AA35" i="55"/>
  <c r="Z35" i="55"/>
  <c r="Y35" i="55"/>
  <c r="T9" i="55"/>
  <c r="A41" i="55" s="1"/>
  <c r="AJ35" i="56"/>
  <c r="AI35" i="56"/>
  <c r="AH35" i="56"/>
  <c r="AG35" i="56"/>
  <c r="AF35" i="56"/>
  <c r="AE35" i="56"/>
  <c r="AD35" i="56"/>
  <c r="AC35" i="56"/>
  <c r="AB35" i="56"/>
  <c r="AA35" i="56"/>
  <c r="Z35" i="56"/>
  <c r="Y35" i="56"/>
  <c r="T9" i="56"/>
  <c r="A41" i="56" s="1"/>
  <c r="AJ35" i="53"/>
  <c r="AI35" i="53"/>
  <c r="AH35" i="53"/>
  <c r="AG35" i="53"/>
  <c r="AF35" i="53"/>
  <c r="AE35" i="53"/>
  <c r="AD35" i="53"/>
  <c r="AC35" i="53"/>
  <c r="AB35" i="53"/>
  <c r="AA35" i="53"/>
  <c r="Z35" i="53"/>
  <c r="Y35" i="53"/>
  <c r="T9" i="53"/>
  <c r="A41" i="53" s="1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T9" i="54"/>
  <c r="A41" i="54" s="1"/>
  <c r="AJ35" i="35"/>
  <c r="AI35" i="35"/>
  <c r="AH35" i="35"/>
  <c r="AG35" i="35"/>
  <c r="AF35" i="35"/>
  <c r="AE35" i="35"/>
  <c r="AD35" i="35"/>
  <c r="AC35" i="35"/>
  <c r="AB35" i="35"/>
  <c r="AA35" i="35"/>
  <c r="Z35" i="35"/>
  <c r="Y35" i="35"/>
  <c r="T9" i="35"/>
  <c r="A41" i="35" s="1"/>
  <c r="A44" i="57"/>
  <c r="A44" i="58"/>
  <c r="A44" i="59"/>
  <c r="A44" i="60"/>
  <c r="A44" i="55"/>
  <c r="A44" i="56"/>
  <c r="A44" i="53"/>
  <c r="A44" i="54"/>
  <c r="A44" i="35"/>
  <c r="A28" i="35"/>
  <c r="B28" i="35" s="1"/>
  <c r="A26" i="35"/>
  <c r="B26" i="35" s="1"/>
  <c r="A28" i="57"/>
  <c r="B28" i="57" s="1"/>
  <c r="A26" i="57"/>
  <c r="B26" i="57" s="1"/>
  <c r="A28" i="58"/>
  <c r="B28" i="58" s="1"/>
  <c r="A26" i="58"/>
  <c r="B26" i="58" s="1"/>
  <c r="A28" i="59"/>
  <c r="B28" i="59" s="1"/>
  <c r="A26" i="59"/>
  <c r="B26" i="59" s="1"/>
  <c r="A28" i="60"/>
  <c r="B28" i="60" s="1"/>
  <c r="A26" i="60"/>
  <c r="B26" i="60" s="1"/>
  <c r="A28" i="56"/>
  <c r="B28" i="56" s="1"/>
  <c r="A26" i="56"/>
  <c r="B26" i="56" s="1"/>
  <c r="A28" i="53"/>
  <c r="B28" i="53" s="1"/>
  <c r="A26" i="53"/>
  <c r="B26" i="53" s="1"/>
  <c r="A28" i="54"/>
  <c r="B28" i="54" s="1"/>
  <c r="A26" i="54"/>
  <c r="B26" i="54" s="1"/>
  <c r="A28" i="55"/>
  <c r="B28" i="55" s="1"/>
  <c r="A26" i="55"/>
  <c r="B26" i="55" s="1"/>
  <c r="I14" i="35"/>
  <c r="I14" i="57"/>
  <c r="I14" i="58"/>
  <c r="I14" i="59"/>
  <c r="I14" i="60"/>
  <c r="I14" i="56"/>
  <c r="I14" i="53"/>
  <c r="I14" i="54"/>
  <c r="I14" i="55"/>
  <c r="I15" i="35"/>
  <c r="I15" i="57"/>
  <c r="I15" i="58"/>
  <c r="I15" i="59"/>
  <c r="I15" i="60"/>
  <c r="I15" i="56"/>
  <c r="I15" i="53"/>
  <c r="I15" i="54"/>
  <c r="I15" i="55"/>
  <c r="S24" i="53" l="1"/>
  <c r="S24" i="58"/>
  <c r="S24" i="57"/>
  <c r="S24" i="35"/>
  <c r="S24" i="56"/>
  <c r="S24" i="59"/>
  <c r="S24" i="60"/>
  <c r="S24" i="54"/>
  <c r="S24" i="55"/>
  <c r="Q63" i="55"/>
  <c r="Q62" i="55"/>
  <c r="Q61" i="55"/>
  <c r="Q60" i="55"/>
  <c r="P60" i="55"/>
  <c r="O60" i="55"/>
  <c r="N60" i="55"/>
  <c r="M60" i="55"/>
  <c r="L60" i="55"/>
  <c r="K60" i="55"/>
  <c r="H60" i="55"/>
  <c r="G60" i="55"/>
  <c r="F60" i="55"/>
  <c r="E60" i="55"/>
  <c r="D60" i="55"/>
  <c r="C60" i="55"/>
  <c r="A29" i="55"/>
  <c r="B29" i="55" s="1"/>
  <c r="A27" i="55"/>
  <c r="B27" i="55" s="1"/>
  <c r="L14" i="55"/>
  <c r="Y13" i="55"/>
  <c r="Y11" i="55"/>
  <c r="Q63" i="56"/>
  <c r="Q62" i="56"/>
  <c r="Q61" i="56"/>
  <c r="Q60" i="56"/>
  <c r="P60" i="56"/>
  <c r="O60" i="56"/>
  <c r="N60" i="56"/>
  <c r="M60" i="56"/>
  <c r="L60" i="56"/>
  <c r="K60" i="56"/>
  <c r="H60" i="56"/>
  <c r="G60" i="56"/>
  <c r="F60" i="56"/>
  <c r="E60" i="56"/>
  <c r="D60" i="56"/>
  <c r="C60" i="56"/>
  <c r="A29" i="56"/>
  <c r="B29" i="56" s="1"/>
  <c r="A27" i="56"/>
  <c r="B27" i="56" s="1"/>
  <c r="M15" i="56"/>
  <c r="M14" i="56"/>
  <c r="L14" i="56"/>
  <c r="Y13" i="56"/>
  <c r="U2" i="56" s="1"/>
  <c r="Y11" i="56"/>
  <c r="Q63" i="53"/>
  <c r="Q62" i="53"/>
  <c r="Q61" i="53"/>
  <c r="Q60" i="53"/>
  <c r="P60" i="53"/>
  <c r="O60" i="53"/>
  <c r="N60" i="53"/>
  <c r="M60" i="53"/>
  <c r="L60" i="53"/>
  <c r="K60" i="53"/>
  <c r="H60" i="53"/>
  <c r="G60" i="53"/>
  <c r="F60" i="53"/>
  <c r="E60" i="53"/>
  <c r="D60" i="53"/>
  <c r="C60" i="53"/>
  <c r="A29" i="53"/>
  <c r="B29" i="53" s="1"/>
  <c r="A27" i="53"/>
  <c r="B27" i="53" s="1"/>
  <c r="M15" i="53"/>
  <c r="M14" i="53"/>
  <c r="L14" i="53"/>
  <c r="Y13" i="53"/>
  <c r="U2" i="53" s="1"/>
  <c r="Y11" i="53"/>
  <c r="Q63" i="54"/>
  <c r="Q62" i="54"/>
  <c r="Q61" i="54"/>
  <c r="Q60" i="54"/>
  <c r="P60" i="54"/>
  <c r="O60" i="54"/>
  <c r="N60" i="54"/>
  <c r="M60" i="54"/>
  <c r="L60" i="54"/>
  <c r="K60" i="54"/>
  <c r="H60" i="54"/>
  <c r="G60" i="54"/>
  <c r="F60" i="54"/>
  <c r="E60" i="54"/>
  <c r="D60" i="54"/>
  <c r="C60" i="54"/>
  <c r="A29" i="54"/>
  <c r="B29" i="54" s="1"/>
  <c r="A27" i="54"/>
  <c r="B27" i="54" s="1"/>
  <c r="L14" i="54"/>
  <c r="K14" i="54" s="1"/>
  <c r="Y13" i="54"/>
  <c r="Y11" i="54"/>
  <c r="Q62" i="35"/>
  <c r="Q60" i="35"/>
  <c r="P60" i="35"/>
  <c r="O60" i="35"/>
  <c r="N60" i="35"/>
  <c r="M60" i="35"/>
  <c r="L60" i="35"/>
  <c r="K60" i="35"/>
  <c r="H60" i="35"/>
  <c r="G60" i="35"/>
  <c r="F60" i="35"/>
  <c r="E60" i="35"/>
  <c r="D60" i="35"/>
  <c r="C60" i="35"/>
  <c r="B29" i="35"/>
  <c r="A27" i="35"/>
  <c r="B27" i="35" s="1"/>
  <c r="A23" i="35"/>
  <c r="B23" i="35" s="1"/>
  <c r="L14" i="35"/>
  <c r="K14" i="35" s="1"/>
  <c r="Y13" i="35"/>
  <c r="Y11" i="35"/>
  <c r="Q62" i="57"/>
  <c r="Q61" i="57"/>
  <c r="Q60" i="57"/>
  <c r="P60" i="57"/>
  <c r="O60" i="57"/>
  <c r="N60" i="57"/>
  <c r="M60" i="57"/>
  <c r="L60" i="57"/>
  <c r="K60" i="57"/>
  <c r="H60" i="57"/>
  <c r="G60" i="57"/>
  <c r="F60" i="57"/>
  <c r="E60" i="57"/>
  <c r="D60" i="57"/>
  <c r="C60" i="57"/>
  <c r="A29" i="57"/>
  <c r="B29" i="57" s="1"/>
  <c r="A27" i="57"/>
  <c r="B27" i="57" s="1"/>
  <c r="L14" i="57"/>
  <c r="K14" i="57" s="1"/>
  <c r="Y13" i="57"/>
  <c r="Y11" i="57"/>
  <c r="Q63" i="58"/>
  <c r="Q62" i="58"/>
  <c r="Q61" i="58"/>
  <c r="Q60" i="58"/>
  <c r="P60" i="58"/>
  <c r="O60" i="58"/>
  <c r="N60" i="58"/>
  <c r="M60" i="58"/>
  <c r="L60" i="58"/>
  <c r="K60" i="58"/>
  <c r="H60" i="58"/>
  <c r="G60" i="58"/>
  <c r="F60" i="58"/>
  <c r="E60" i="58"/>
  <c r="D60" i="58"/>
  <c r="C60" i="58"/>
  <c r="A29" i="58"/>
  <c r="B29" i="58" s="1"/>
  <c r="A27" i="58"/>
  <c r="B27" i="58" s="1"/>
  <c r="L14" i="58"/>
  <c r="Y13" i="58"/>
  <c r="U2" i="58" s="1"/>
  <c r="Y11" i="58"/>
  <c r="Q63" i="59"/>
  <c r="Q62" i="59"/>
  <c r="Q61" i="59"/>
  <c r="Q60" i="59"/>
  <c r="P60" i="59"/>
  <c r="O60" i="59"/>
  <c r="N60" i="59"/>
  <c r="M60" i="59"/>
  <c r="L60" i="59"/>
  <c r="K60" i="59"/>
  <c r="H60" i="59"/>
  <c r="G60" i="59"/>
  <c r="F60" i="59"/>
  <c r="E60" i="59"/>
  <c r="D60" i="59"/>
  <c r="C60" i="59"/>
  <c r="A29" i="59"/>
  <c r="B29" i="59" s="1"/>
  <c r="A27" i="59"/>
  <c r="B27" i="59" s="1"/>
  <c r="M15" i="59"/>
  <c r="M14" i="59"/>
  <c r="L14" i="59"/>
  <c r="Y13" i="59"/>
  <c r="U2" i="59" s="1"/>
  <c r="Y11" i="59"/>
  <c r="Q63" i="60"/>
  <c r="Q62" i="60"/>
  <c r="Q61" i="60"/>
  <c r="Q60" i="60"/>
  <c r="P60" i="60"/>
  <c r="O60" i="60"/>
  <c r="N60" i="60"/>
  <c r="M60" i="60"/>
  <c r="L60" i="60"/>
  <c r="K60" i="60"/>
  <c r="H60" i="60"/>
  <c r="G60" i="60"/>
  <c r="F60" i="60"/>
  <c r="E60" i="60"/>
  <c r="D60" i="60"/>
  <c r="C60" i="60"/>
  <c r="A29" i="60"/>
  <c r="B29" i="60" s="1"/>
  <c r="A27" i="60"/>
  <c r="B27" i="60" s="1"/>
  <c r="M15" i="60"/>
  <c r="M14" i="60"/>
  <c r="L14" i="60"/>
  <c r="Y13" i="60"/>
  <c r="U2" i="60" s="1"/>
  <c r="Y11" i="60"/>
  <c r="Y12" i="60"/>
  <c r="Y12" i="55"/>
  <c r="Y12" i="56"/>
  <c r="Y12" i="53"/>
  <c r="Y12" i="54"/>
  <c r="Y12" i="35"/>
  <c r="Y12" i="57"/>
  <c r="Y12" i="58"/>
  <c r="Y12" i="59"/>
  <c r="H10" i="59"/>
  <c r="I8" i="59" s="1"/>
  <c r="H10" i="60"/>
  <c r="I8" i="60" s="1"/>
  <c r="H10" i="55"/>
  <c r="I8" i="55" s="1"/>
  <c r="H10" i="56"/>
  <c r="I8" i="56" s="1"/>
  <c r="H10" i="53"/>
  <c r="I8" i="53" s="1"/>
  <c r="H10" i="54"/>
  <c r="I8" i="54" s="1"/>
  <c r="P22" i="35"/>
  <c r="P23" i="35" s="1"/>
  <c r="O22" i="35"/>
  <c r="O23" i="35" s="1"/>
  <c r="N22" i="35"/>
  <c r="N23" i="35" s="1"/>
  <c r="M22" i="35"/>
  <c r="M23" i="35" s="1"/>
  <c r="L22" i="35"/>
  <c r="L23" i="35" s="1"/>
  <c r="K22" i="35"/>
  <c r="K23" i="35" s="1"/>
  <c r="H22" i="35"/>
  <c r="H23" i="35" s="1"/>
  <c r="G22" i="35"/>
  <c r="G23" i="35" s="1"/>
  <c r="F22" i="35"/>
  <c r="F23" i="35" s="1"/>
  <c r="E22" i="35"/>
  <c r="E23" i="35" s="1"/>
  <c r="D22" i="35"/>
  <c r="D23" i="35" s="1"/>
  <c r="C22" i="35"/>
  <c r="C23" i="35" s="1"/>
  <c r="A22" i="35"/>
  <c r="B22" i="35" s="1"/>
  <c r="H10" i="35"/>
  <c r="I8" i="35" s="1"/>
  <c r="H10" i="57"/>
  <c r="I8" i="57" s="1"/>
  <c r="H10" i="58"/>
  <c r="I8" i="58" s="1"/>
  <c r="P56" i="58"/>
  <c r="O56" i="58"/>
  <c r="N56" i="58"/>
  <c r="M56" i="58"/>
  <c r="L56" i="58"/>
  <c r="K56" i="58"/>
  <c r="H56" i="58"/>
  <c r="G56" i="58"/>
  <c r="F56" i="58"/>
  <c r="E56" i="58"/>
  <c r="D56" i="58"/>
  <c r="C56" i="58"/>
  <c r="A17" i="58"/>
  <c r="D17" i="58" s="1"/>
  <c r="P56" i="59"/>
  <c r="O56" i="59"/>
  <c r="N56" i="59"/>
  <c r="M56" i="59"/>
  <c r="L56" i="59"/>
  <c r="K56" i="59"/>
  <c r="H56" i="59"/>
  <c r="G56" i="59"/>
  <c r="F56" i="59"/>
  <c r="E56" i="59"/>
  <c r="D56" i="59"/>
  <c r="C56" i="59"/>
  <c r="A17" i="59"/>
  <c r="D17" i="59" s="1"/>
  <c r="P56" i="60"/>
  <c r="O56" i="60"/>
  <c r="N56" i="60"/>
  <c r="M56" i="60"/>
  <c r="L56" i="60"/>
  <c r="K56" i="60"/>
  <c r="H56" i="60"/>
  <c r="G56" i="60"/>
  <c r="F56" i="60"/>
  <c r="E56" i="60"/>
  <c r="D56" i="60"/>
  <c r="C56" i="60"/>
  <c r="A17" i="60"/>
  <c r="D17" i="60" s="1"/>
  <c r="P56" i="55"/>
  <c r="O56" i="55"/>
  <c r="N56" i="55"/>
  <c r="M56" i="55"/>
  <c r="L56" i="55"/>
  <c r="K56" i="55"/>
  <c r="H56" i="55"/>
  <c r="G56" i="55"/>
  <c r="F56" i="55"/>
  <c r="E56" i="55"/>
  <c r="D56" i="55"/>
  <c r="C56" i="55"/>
  <c r="A17" i="55"/>
  <c r="D17" i="55" s="1"/>
  <c r="P56" i="56"/>
  <c r="O56" i="56"/>
  <c r="N56" i="56"/>
  <c r="M56" i="56"/>
  <c r="L56" i="56"/>
  <c r="K56" i="56"/>
  <c r="H56" i="56"/>
  <c r="G56" i="56"/>
  <c r="F56" i="56"/>
  <c r="E56" i="56"/>
  <c r="D56" i="56"/>
  <c r="C56" i="56"/>
  <c r="A17" i="56"/>
  <c r="D17" i="56" s="1"/>
  <c r="P56" i="53"/>
  <c r="O56" i="53"/>
  <c r="N56" i="53"/>
  <c r="M56" i="53"/>
  <c r="L56" i="53"/>
  <c r="K56" i="53"/>
  <c r="H56" i="53"/>
  <c r="G56" i="53"/>
  <c r="F56" i="53"/>
  <c r="E56" i="53"/>
  <c r="D56" i="53"/>
  <c r="C56" i="53"/>
  <c r="A17" i="53"/>
  <c r="D17" i="53" s="1"/>
  <c r="P56" i="54"/>
  <c r="O56" i="54"/>
  <c r="N56" i="54"/>
  <c r="M56" i="54"/>
  <c r="L56" i="54"/>
  <c r="K56" i="54"/>
  <c r="H56" i="54"/>
  <c r="G56" i="54"/>
  <c r="F56" i="54"/>
  <c r="E56" i="54"/>
  <c r="D56" i="54"/>
  <c r="C56" i="54"/>
  <c r="A17" i="54"/>
  <c r="D17" i="54" s="1"/>
  <c r="P56" i="35"/>
  <c r="O56" i="35"/>
  <c r="N56" i="35"/>
  <c r="M56" i="35"/>
  <c r="L56" i="35"/>
  <c r="K56" i="35"/>
  <c r="H56" i="35"/>
  <c r="G56" i="35"/>
  <c r="F56" i="35"/>
  <c r="E56" i="35"/>
  <c r="D56" i="35"/>
  <c r="C56" i="35"/>
  <c r="A17" i="35"/>
  <c r="D17" i="35" s="1"/>
  <c r="P56" i="57"/>
  <c r="O56" i="57"/>
  <c r="N56" i="57"/>
  <c r="M56" i="57"/>
  <c r="L56" i="57"/>
  <c r="K56" i="57"/>
  <c r="H56" i="57"/>
  <c r="G56" i="57"/>
  <c r="F56" i="57"/>
  <c r="E56" i="57"/>
  <c r="D56" i="57"/>
  <c r="C56" i="57"/>
  <c r="A17" i="57"/>
  <c r="D17" i="57" s="1"/>
  <c r="P29" i="57"/>
  <c r="O29" i="57"/>
  <c r="N29" i="57"/>
  <c r="M29" i="57"/>
  <c r="L29" i="57"/>
  <c r="K29" i="57"/>
  <c r="H29" i="57"/>
  <c r="G29" i="57"/>
  <c r="F29" i="57"/>
  <c r="E29" i="57"/>
  <c r="D29" i="57"/>
  <c r="C29" i="57"/>
  <c r="P27" i="57"/>
  <c r="O27" i="57"/>
  <c r="O30" i="57" s="1"/>
  <c r="AI37" i="57" s="1"/>
  <c r="N27" i="57"/>
  <c r="N30" i="57" s="1"/>
  <c r="AH37" i="57" s="1"/>
  <c r="M27" i="57"/>
  <c r="M30" i="57" s="1"/>
  <c r="AG37" i="57" s="1"/>
  <c r="L27" i="57"/>
  <c r="K27" i="57"/>
  <c r="H27" i="57"/>
  <c r="H30" i="57" s="1"/>
  <c r="AD37" i="57" s="1"/>
  <c r="G27" i="57"/>
  <c r="F27" i="57"/>
  <c r="E27" i="57"/>
  <c r="E30" i="57" s="1"/>
  <c r="AA37" i="57" s="1"/>
  <c r="D27" i="57"/>
  <c r="D30" i="57" s="1"/>
  <c r="Z37" i="57" s="1"/>
  <c r="C27" i="57"/>
  <c r="C30" i="57" s="1"/>
  <c r="Y37" i="57" s="1"/>
  <c r="L9" i="57"/>
  <c r="K9" i="57" s="1"/>
  <c r="P29" i="58"/>
  <c r="O29" i="58"/>
  <c r="N29" i="58"/>
  <c r="M29" i="58"/>
  <c r="L29" i="58"/>
  <c r="K29" i="58"/>
  <c r="H29" i="58"/>
  <c r="G29" i="58"/>
  <c r="F29" i="58"/>
  <c r="E29" i="58"/>
  <c r="D29" i="58"/>
  <c r="C29" i="58"/>
  <c r="P27" i="58"/>
  <c r="P30" i="58" s="1"/>
  <c r="AJ37" i="58" s="1"/>
  <c r="O27" i="58"/>
  <c r="O30" i="58" s="1"/>
  <c r="AI37" i="58" s="1"/>
  <c r="N27" i="58"/>
  <c r="N30" i="58" s="1"/>
  <c r="AH37" i="58" s="1"/>
  <c r="M27" i="58"/>
  <c r="L27" i="58"/>
  <c r="L30" i="58" s="1"/>
  <c r="AF37" i="58" s="1"/>
  <c r="K27" i="58"/>
  <c r="K30" i="58" s="1"/>
  <c r="AE37" i="58" s="1"/>
  <c r="H27" i="58"/>
  <c r="G27" i="58"/>
  <c r="G30" i="58" s="1"/>
  <c r="AC37" i="58" s="1"/>
  <c r="F27" i="58"/>
  <c r="F30" i="58" s="1"/>
  <c r="AB37" i="58" s="1"/>
  <c r="E27" i="58"/>
  <c r="E30" i="58" s="1"/>
  <c r="AA37" i="58" s="1"/>
  <c r="D27" i="58"/>
  <c r="D30" i="58" s="1"/>
  <c r="Z37" i="58" s="1"/>
  <c r="C27" i="58"/>
  <c r="L9" i="58"/>
  <c r="K9" i="58" s="1"/>
  <c r="AG7" i="58"/>
  <c r="P29" i="59"/>
  <c r="O29" i="59"/>
  <c r="N29" i="59"/>
  <c r="M29" i="59"/>
  <c r="L29" i="59"/>
  <c r="K29" i="59"/>
  <c r="H29" i="59"/>
  <c r="G29" i="59"/>
  <c r="F29" i="59"/>
  <c r="E29" i="59"/>
  <c r="D29" i="59"/>
  <c r="C29" i="59"/>
  <c r="P27" i="59"/>
  <c r="P30" i="59" s="1"/>
  <c r="AJ37" i="59" s="1"/>
  <c r="O27" i="59"/>
  <c r="N27" i="59"/>
  <c r="M27" i="59"/>
  <c r="L27" i="59"/>
  <c r="K27" i="59"/>
  <c r="K30" i="59" s="1"/>
  <c r="AE37" i="59" s="1"/>
  <c r="H27" i="59"/>
  <c r="H30" i="59" s="1"/>
  <c r="AD37" i="59" s="1"/>
  <c r="G27" i="59"/>
  <c r="G30" i="59" s="1"/>
  <c r="AC37" i="59" s="1"/>
  <c r="F27" i="59"/>
  <c r="F30" i="59" s="1"/>
  <c r="AB37" i="59" s="1"/>
  <c r="E27" i="59"/>
  <c r="D27" i="59"/>
  <c r="C27" i="59"/>
  <c r="L9" i="59"/>
  <c r="K9" i="59" s="1"/>
  <c r="AG7" i="59"/>
  <c r="P29" i="60"/>
  <c r="O29" i="60"/>
  <c r="N29" i="60"/>
  <c r="M29" i="60"/>
  <c r="L29" i="60"/>
  <c r="K29" i="60"/>
  <c r="H29" i="60"/>
  <c r="G29" i="60"/>
  <c r="F29" i="60"/>
  <c r="E29" i="60"/>
  <c r="D29" i="60"/>
  <c r="C29" i="60"/>
  <c r="P27" i="60"/>
  <c r="O27" i="60"/>
  <c r="N27" i="60"/>
  <c r="M27" i="60"/>
  <c r="M30" i="60" s="1"/>
  <c r="AG37" i="60" s="1"/>
  <c r="L27" i="60"/>
  <c r="L30" i="60" s="1"/>
  <c r="AF37" i="60" s="1"/>
  <c r="K27" i="60"/>
  <c r="K30" i="60" s="1"/>
  <c r="AE37" i="60" s="1"/>
  <c r="H27" i="60"/>
  <c r="H30" i="60" s="1"/>
  <c r="AD37" i="60" s="1"/>
  <c r="G27" i="60"/>
  <c r="F27" i="60"/>
  <c r="E27" i="60"/>
  <c r="D27" i="60"/>
  <c r="C27" i="60"/>
  <c r="C30" i="60" s="1"/>
  <c r="Y37" i="60" s="1"/>
  <c r="L9" i="60"/>
  <c r="K9" i="60" s="1"/>
  <c r="AG7" i="60"/>
  <c r="P29" i="55"/>
  <c r="O29" i="55"/>
  <c r="N29" i="55"/>
  <c r="M29" i="55"/>
  <c r="L29" i="55"/>
  <c r="K29" i="55"/>
  <c r="H29" i="55"/>
  <c r="G29" i="55"/>
  <c r="F29" i="55"/>
  <c r="E29" i="55"/>
  <c r="D29" i="55"/>
  <c r="C29" i="55"/>
  <c r="P27" i="55"/>
  <c r="O27" i="55"/>
  <c r="N27" i="55"/>
  <c r="N30" i="55" s="1"/>
  <c r="AH37" i="55" s="1"/>
  <c r="M27" i="55"/>
  <c r="L27" i="55"/>
  <c r="L30" i="55" s="1"/>
  <c r="AF37" i="55" s="1"/>
  <c r="K27" i="55"/>
  <c r="H27" i="55"/>
  <c r="G27" i="55"/>
  <c r="F27" i="55"/>
  <c r="E27" i="55"/>
  <c r="D27" i="55"/>
  <c r="C27" i="55"/>
  <c r="C30" i="55" s="1"/>
  <c r="Y37" i="55" s="1"/>
  <c r="L9" i="55"/>
  <c r="P29" i="56"/>
  <c r="O29" i="56"/>
  <c r="N29" i="56"/>
  <c r="M29" i="56"/>
  <c r="L29" i="56"/>
  <c r="K29" i="56"/>
  <c r="H29" i="56"/>
  <c r="G29" i="56"/>
  <c r="F29" i="56"/>
  <c r="E29" i="56"/>
  <c r="D29" i="56"/>
  <c r="C29" i="56"/>
  <c r="P27" i="56"/>
  <c r="P30" i="56" s="1"/>
  <c r="AJ37" i="56" s="1"/>
  <c r="O27" i="56"/>
  <c r="O30" i="56" s="1"/>
  <c r="AI37" i="56" s="1"/>
  <c r="N27" i="56"/>
  <c r="N30" i="56" s="1"/>
  <c r="N37" i="56" s="1"/>
  <c r="M27" i="56"/>
  <c r="M30" i="56" s="1"/>
  <c r="AG37" i="56" s="1"/>
  <c r="L27" i="56"/>
  <c r="K27" i="56"/>
  <c r="H27" i="56"/>
  <c r="G27" i="56"/>
  <c r="F27" i="56"/>
  <c r="F30" i="56" s="1"/>
  <c r="AB37" i="56" s="1"/>
  <c r="E27" i="56"/>
  <c r="E30" i="56" s="1"/>
  <c r="AA37" i="56" s="1"/>
  <c r="D27" i="56"/>
  <c r="D30" i="56" s="1"/>
  <c r="Z37" i="56" s="1"/>
  <c r="C27" i="56"/>
  <c r="C30" i="56" s="1"/>
  <c r="Y37" i="56" s="1"/>
  <c r="L9" i="56"/>
  <c r="K9" i="56" s="1"/>
  <c r="AG7" i="56"/>
  <c r="P29" i="53"/>
  <c r="O29" i="53"/>
  <c r="N29" i="53"/>
  <c r="M29" i="53"/>
  <c r="L29" i="53"/>
  <c r="K29" i="53"/>
  <c r="H29" i="53"/>
  <c r="G29" i="53"/>
  <c r="F29" i="53"/>
  <c r="E29" i="53"/>
  <c r="D29" i="53"/>
  <c r="C29" i="53"/>
  <c r="P27" i="53"/>
  <c r="P30" i="53" s="1"/>
  <c r="AJ37" i="53" s="1"/>
  <c r="O27" i="53"/>
  <c r="N27" i="53"/>
  <c r="M27" i="53"/>
  <c r="L27" i="53"/>
  <c r="K27" i="53"/>
  <c r="K30" i="53" s="1"/>
  <c r="AE37" i="53" s="1"/>
  <c r="H27" i="53"/>
  <c r="H30" i="53" s="1"/>
  <c r="AD37" i="53" s="1"/>
  <c r="G27" i="53"/>
  <c r="G30" i="53" s="1"/>
  <c r="AC37" i="53" s="1"/>
  <c r="F27" i="53"/>
  <c r="F30" i="53" s="1"/>
  <c r="AB37" i="53" s="1"/>
  <c r="E27" i="53"/>
  <c r="D27" i="53"/>
  <c r="C27" i="53"/>
  <c r="L9" i="53"/>
  <c r="K9" i="53" s="1"/>
  <c r="AG7" i="53"/>
  <c r="P29" i="54"/>
  <c r="O29" i="54"/>
  <c r="N29" i="54"/>
  <c r="M29" i="54"/>
  <c r="L29" i="54"/>
  <c r="K29" i="54"/>
  <c r="H29" i="54"/>
  <c r="G29" i="54"/>
  <c r="F29" i="54"/>
  <c r="E29" i="54"/>
  <c r="D29" i="54"/>
  <c r="C29" i="54"/>
  <c r="P27" i="54"/>
  <c r="O27" i="54"/>
  <c r="N27" i="54"/>
  <c r="M27" i="54"/>
  <c r="M30" i="54" s="1"/>
  <c r="AG37" i="54" s="1"/>
  <c r="L27" i="54"/>
  <c r="L30" i="54" s="1"/>
  <c r="AF37" i="54" s="1"/>
  <c r="K27" i="54"/>
  <c r="K30" i="54" s="1"/>
  <c r="AE37" i="54" s="1"/>
  <c r="H27" i="54"/>
  <c r="G27" i="54"/>
  <c r="F27" i="54"/>
  <c r="E27" i="54"/>
  <c r="D27" i="54"/>
  <c r="C27" i="54"/>
  <c r="C30" i="54" s="1"/>
  <c r="Y37" i="54" s="1"/>
  <c r="L9" i="54"/>
  <c r="K9" i="54" s="1"/>
  <c r="P29" i="35"/>
  <c r="O29" i="35"/>
  <c r="N29" i="35"/>
  <c r="M29" i="35"/>
  <c r="L29" i="35"/>
  <c r="K29" i="35"/>
  <c r="H29" i="35"/>
  <c r="G29" i="35"/>
  <c r="F29" i="35"/>
  <c r="E29" i="35"/>
  <c r="D29" i="35"/>
  <c r="C29" i="35"/>
  <c r="P27" i="35"/>
  <c r="O27" i="35"/>
  <c r="N27" i="35"/>
  <c r="M27" i="35"/>
  <c r="L27" i="35"/>
  <c r="K27" i="35"/>
  <c r="H27" i="35"/>
  <c r="G27" i="35"/>
  <c r="F27" i="35"/>
  <c r="E27" i="35"/>
  <c r="D27" i="35"/>
  <c r="C27" i="35"/>
  <c r="L9" i="35"/>
  <c r="K9" i="35" s="1"/>
  <c r="F30" i="57" l="1"/>
  <c r="AB37" i="57" s="1"/>
  <c r="P30" i="57"/>
  <c r="AJ37" i="57" s="1"/>
  <c r="K30" i="57"/>
  <c r="AE37" i="57" s="1"/>
  <c r="M14" i="54"/>
  <c r="M15" i="54" s="1"/>
  <c r="D30" i="54"/>
  <c r="Z37" i="54" s="1"/>
  <c r="N30" i="54"/>
  <c r="AH37" i="54" s="1"/>
  <c r="M9" i="54"/>
  <c r="M10" i="54" s="1"/>
  <c r="E30" i="54"/>
  <c r="AA37" i="54" s="1"/>
  <c r="O30" i="54"/>
  <c r="AI37" i="54" s="1"/>
  <c r="M9" i="53"/>
  <c r="M10" i="53" s="1"/>
  <c r="L30" i="53"/>
  <c r="AF37" i="53" s="1"/>
  <c r="G30" i="56"/>
  <c r="AC37" i="56" s="1"/>
  <c r="D30" i="60"/>
  <c r="Z37" i="60" s="1"/>
  <c r="N30" i="60"/>
  <c r="AH37" i="60" s="1"/>
  <c r="F30" i="54"/>
  <c r="AB37" i="54" s="1"/>
  <c r="P30" i="54"/>
  <c r="AJ37" i="54" s="1"/>
  <c r="C30" i="53"/>
  <c r="Y37" i="53" s="1"/>
  <c r="M30" i="53"/>
  <c r="AG37" i="53" s="1"/>
  <c r="H30" i="56"/>
  <c r="AD37" i="56" s="1"/>
  <c r="G30" i="55"/>
  <c r="AC37" i="55" s="1"/>
  <c r="E30" i="60"/>
  <c r="AA37" i="60" s="1"/>
  <c r="O30" i="60"/>
  <c r="AI37" i="60" s="1"/>
  <c r="D30" i="53"/>
  <c r="Z37" i="53" s="1"/>
  <c r="N30" i="53"/>
  <c r="AH37" i="53" s="1"/>
  <c r="K30" i="56"/>
  <c r="AE37" i="56" s="1"/>
  <c r="F30" i="60"/>
  <c r="AB37" i="60" s="1"/>
  <c r="P30" i="60"/>
  <c r="AJ37" i="60" s="1"/>
  <c r="D30" i="59"/>
  <c r="Z37" i="59" s="1"/>
  <c r="G30" i="54"/>
  <c r="AC37" i="54" s="1"/>
  <c r="H30" i="54"/>
  <c r="AD37" i="54" s="1"/>
  <c r="E30" i="53"/>
  <c r="AA37" i="53" s="1"/>
  <c r="O30" i="53"/>
  <c r="AI37" i="53" s="1"/>
  <c r="M9" i="56"/>
  <c r="M10" i="56" s="1"/>
  <c r="L30" i="56"/>
  <c r="AF37" i="56" s="1"/>
  <c r="G30" i="60"/>
  <c r="AC37" i="60" s="1"/>
  <c r="M9" i="60"/>
  <c r="M10" i="60" s="1"/>
  <c r="M9" i="59"/>
  <c r="M10" i="59" s="1"/>
  <c r="L30" i="59"/>
  <c r="AF37" i="59" s="1"/>
  <c r="H30" i="58"/>
  <c r="AD37" i="58" s="1"/>
  <c r="F30" i="55"/>
  <c r="AB37" i="55" s="1"/>
  <c r="P30" i="55"/>
  <c r="AJ37" i="55" s="1"/>
  <c r="C30" i="59"/>
  <c r="Y37" i="59" s="1"/>
  <c r="M30" i="59"/>
  <c r="AG37" i="59" s="1"/>
  <c r="N30" i="59"/>
  <c r="AH37" i="59" s="1"/>
  <c r="E30" i="59"/>
  <c r="AA37" i="59" s="1"/>
  <c r="O30" i="59"/>
  <c r="AI37" i="59" s="1"/>
  <c r="C30" i="58"/>
  <c r="Y37" i="58" s="1"/>
  <c r="M30" i="58"/>
  <c r="AG37" i="58" s="1"/>
  <c r="L30" i="57"/>
  <c r="AF37" i="57" s="1"/>
  <c r="AH37" i="56"/>
  <c r="D30" i="35"/>
  <c r="Z37" i="35" s="1"/>
  <c r="H30" i="35"/>
  <c r="AD37" i="35" s="1"/>
  <c r="N30" i="35"/>
  <c r="AH37" i="35" s="1"/>
  <c r="E30" i="35"/>
  <c r="AA37" i="35" s="1"/>
  <c r="K30" i="35"/>
  <c r="AE37" i="35" s="1"/>
  <c r="O30" i="35"/>
  <c r="AI37" i="35" s="1"/>
  <c r="F30" i="35"/>
  <c r="AB37" i="35" s="1"/>
  <c r="L30" i="35"/>
  <c r="AF37" i="35" s="1"/>
  <c r="P30" i="35"/>
  <c r="AJ37" i="35" s="1"/>
  <c r="C30" i="35"/>
  <c r="Y37" i="35" s="1"/>
  <c r="G30" i="35"/>
  <c r="AC37" i="35" s="1"/>
  <c r="M30" i="35"/>
  <c r="M37" i="35" s="1"/>
  <c r="Q63" i="57"/>
  <c r="M14" i="57"/>
  <c r="M15" i="57" s="1"/>
  <c r="M14" i="58"/>
  <c r="M15" i="58" s="1"/>
  <c r="M9" i="58"/>
  <c r="M10" i="58" s="1"/>
  <c r="G30" i="57"/>
  <c r="M9" i="57"/>
  <c r="M10" i="57" s="1"/>
  <c r="C37" i="57"/>
  <c r="M37" i="57"/>
  <c r="D37" i="58"/>
  <c r="K37" i="53"/>
  <c r="E37" i="53"/>
  <c r="E30" i="55"/>
  <c r="AA37" i="55" s="1"/>
  <c r="D30" i="55"/>
  <c r="Z37" i="55" s="1"/>
  <c r="H30" i="55"/>
  <c r="AD37" i="55" s="1"/>
  <c r="Q63" i="35"/>
  <c r="I10" i="57"/>
  <c r="I10" i="53"/>
  <c r="I10" i="59"/>
  <c r="K37" i="59"/>
  <c r="Q61" i="35"/>
  <c r="K30" i="55"/>
  <c r="AE37" i="55" s="1"/>
  <c r="O30" i="55"/>
  <c r="I10" i="58"/>
  <c r="I10" i="54"/>
  <c r="I10" i="60"/>
  <c r="M9" i="55"/>
  <c r="M10" i="55" s="1"/>
  <c r="K9" i="55"/>
  <c r="M30" i="55"/>
  <c r="AG37" i="55" s="1"/>
  <c r="I10" i="56"/>
  <c r="M14" i="35"/>
  <c r="M15" i="35" s="1"/>
  <c r="M9" i="35"/>
  <c r="M10" i="35" s="1"/>
  <c r="I10" i="35"/>
  <c r="M14" i="55"/>
  <c r="M15" i="55" s="1"/>
  <c r="I10" i="55"/>
  <c r="C37" i="55"/>
  <c r="D37" i="56"/>
  <c r="L37" i="54"/>
  <c r="L37" i="60"/>
  <c r="H37" i="58"/>
  <c r="N37" i="58"/>
  <c r="O37" i="53"/>
  <c r="C37" i="54"/>
  <c r="M37" i="54"/>
  <c r="F37" i="53"/>
  <c r="P37" i="53"/>
  <c r="E37" i="56"/>
  <c r="K37" i="56"/>
  <c r="O37" i="56"/>
  <c r="N37" i="55"/>
  <c r="C37" i="60"/>
  <c r="M37" i="60"/>
  <c r="F37" i="59"/>
  <c r="P37" i="59"/>
  <c r="E37" i="58"/>
  <c r="K37" i="58"/>
  <c r="O37" i="58"/>
  <c r="D37" i="57"/>
  <c r="H37" i="57"/>
  <c r="N37" i="57"/>
  <c r="C37" i="53"/>
  <c r="G37" i="53"/>
  <c r="F37" i="56"/>
  <c r="L37" i="56"/>
  <c r="P37" i="56"/>
  <c r="H37" i="60"/>
  <c r="G37" i="59"/>
  <c r="F37" i="58"/>
  <c r="L37" i="58"/>
  <c r="P37" i="58"/>
  <c r="E37" i="57"/>
  <c r="O37" i="57"/>
  <c r="K37" i="54"/>
  <c r="D37" i="53"/>
  <c r="H37" i="53"/>
  <c r="N37" i="53"/>
  <c r="C37" i="56"/>
  <c r="M37" i="56"/>
  <c r="L37" i="55"/>
  <c r="P37" i="55"/>
  <c r="K37" i="60"/>
  <c r="H37" i="59"/>
  <c r="C37" i="58"/>
  <c r="G37" i="58"/>
  <c r="M37" i="58"/>
  <c r="K37" i="57" l="1"/>
  <c r="P37" i="57"/>
  <c r="F37" i="57"/>
  <c r="D37" i="54"/>
  <c r="N37" i="54"/>
  <c r="P37" i="54"/>
  <c r="E37" i="54"/>
  <c r="F37" i="54"/>
  <c r="O37" i="54"/>
  <c r="K37" i="35"/>
  <c r="L37" i="57"/>
  <c r="G37" i="55"/>
  <c r="M37" i="53"/>
  <c r="C37" i="59"/>
  <c r="F37" i="60"/>
  <c r="G37" i="56"/>
  <c r="P37" i="35"/>
  <c r="L37" i="53"/>
  <c r="P37" i="60"/>
  <c r="N37" i="59"/>
  <c r="D37" i="59"/>
  <c r="E37" i="60"/>
  <c r="E37" i="59"/>
  <c r="G37" i="54"/>
  <c r="H37" i="56"/>
  <c r="D37" i="60"/>
  <c r="L37" i="59"/>
  <c r="N37" i="60"/>
  <c r="O37" i="60"/>
  <c r="O37" i="59"/>
  <c r="H37" i="54"/>
  <c r="F37" i="55"/>
  <c r="G37" i="60"/>
  <c r="M37" i="59"/>
  <c r="E37" i="35"/>
  <c r="L37" i="35"/>
  <c r="D37" i="35"/>
  <c r="O37" i="35"/>
  <c r="G37" i="57"/>
  <c r="AC37" i="57"/>
  <c r="N37" i="35"/>
  <c r="O37" i="55"/>
  <c r="AI37" i="55"/>
  <c r="F37" i="35"/>
  <c r="H37" i="35"/>
  <c r="G37" i="35"/>
  <c r="C37" i="35"/>
  <c r="AG37" i="35"/>
  <c r="H37" i="55"/>
  <c r="E37" i="55"/>
  <c r="M37" i="55"/>
  <c r="K37" i="55"/>
  <c r="D37" i="55"/>
  <c r="A2" i="58" l="1"/>
  <c r="A2" i="59"/>
  <c r="A2" i="60"/>
  <c r="A2" i="55"/>
  <c r="A2" i="56"/>
  <c r="A2" i="53"/>
  <c r="A2" i="54"/>
  <c r="A2" i="57"/>
  <c r="A1" i="58"/>
  <c r="A1" i="59"/>
  <c r="A1" i="60"/>
  <c r="A1" i="55"/>
  <c r="A1" i="56"/>
  <c r="A1" i="53"/>
  <c r="A1" i="54"/>
  <c r="A1" i="57"/>
  <c r="W42" i="58" l="1"/>
  <c r="W34" i="58"/>
  <c r="W25" i="58"/>
  <c r="W21" i="58"/>
  <c r="W42" i="59"/>
  <c r="W34" i="59"/>
  <c r="W25" i="59"/>
  <c r="W21" i="59"/>
  <c r="W42" i="60"/>
  <c r="W34" i="60"/>
  <c r="W25" i="60"/>
  <c r="W21" i="60"/>
  <c r="W42" i="55"/>
  <c r="W34" i="55"/>
  <c r="W25" i="55"/>
  <c r="W21" i="55"/>
  <c r="W42" i="56"/>
  <c r="W34" i="56"/>
  <c r="W25" i="56"/>
  <c r="W21" i="56"/>
  <c r="W42" i="53"/>
  <c r="W34" i="53"/>
  <c r="W25" i="53"/>
  <c r="W21" i="53"/>
  <c r="W42" i="54"/>
  <c r="W34" i="54"/>
  <c r="W25" i="54"/>
  <c r="W21" i="54"/>
  <c r="W42" i="57"/>
  <c r="W34" i="57"/>
  <c r="W25" i="57"/>
  <c r="W21" i="57"/>
  <c r="W42" i="35"/>
  <c r="P58" i="57" l="1"/>
  <c r="O58" i="57"/>
  <c r="N58" i="57"/>
  <c r="M58" i="57"/>
  <c r="L58" i="57"/>
  <c r="K58" i="57"/>
  <c r="H58" i="57"/>
  <c r="G58" i="57"/>
  <c r="F58" i="57"/>
  <c r="E58" i="57"/>
  <c r="D58" i="57"/>
  <c r="P58" i="58"/>
  <c r="O58" i="58"/>
  <c r="N58" i="58"/>
  <c r="M58" i="58"/>
  <c r="L58" i="58"/>
  <c r="K58" i="58"/>
  <c r="H58" i="58"/>
  <c r="G58" i="58"/>
  <c r="F58" i="58"/>
  <c r="E58" i="58"/>
  <c r="D58" i="58"/>
  <c r="P58" i="59"/>
  <c r="O58" i="59"/>
  <c r="N58" i="59"/>
  <c r="M58" i="59"/>
  <c r="L58" i="59"/>
  <c r="K58" i="59"/>
  <c r="H58" i="59"/>
  <c r="G58" i="59"/>
  <c r="F58" i="59"/>
  <c r="E58" i="59"/>
  <c r="D58" i="59"/>
  <c r="P58" i="60"/>
  <c r="O58" i="60"/>
  <c r="N58" i="60"/>
  <c r="M58" i="60"/>
  <c r="L58" i="60"/>
  <c r="K58" i="60"/>
  <c r="H58" i="60"/>
  <c r="G58" i="60"/>
  <c r="F58" i="60"/>
  <c r="E58" i="60"/>
  <c r="D58" i="60"/>
  <c r="P58" i="55"/>
  <c r="O58" i="55"/>
  <c r="N58" i="55"/>
  <c r="M58" i="55"/>
  <c r="L58" i="55"/>
  <c r="K58" i="55"/>
  <c r="H58" i="55"/>
  <c r="G58" i="55"/>
  <c r="F58" i="55"/>
  <c r="E58" i="55"/>
  <c r="D58" i="55"/>
  <c r="P58" i="56"/>
  <c r="O58" i="56"/>
  <c r="N58" i="56"/>
  <c r="M58" i="56"/>
  <c r="L58" i="56"/>
  <c r="K58" i="56"/>
  <c r="H58" i="56"/>
  <c r="G58" i="56"/>
  <c r="F58" i="56"/>
  <c r="E58" i="56"/>
  <c r="D58" i="56"/>
  <c r="P58" i="53"/>
  <c r="O58" i="53"/>
  <c r="N58" i="53"/>
  <c r="M58" i="53"/>
  <c r="L58" i="53"/>
  <c r="K58" i="53"/>
  <c r="H58" i="53"/>
  <c r="G58" i="53"/>
  <c r="F58" i="53"/>
  <c r="E58" i="53"/>
  <c r="D58" i="53"/>
  <c r="P58" i="54"/>
  <c r="O58" i="54"/>
  <c r="N58" i="54"/>
  <c r="M58" i="54"/>
  <c r="L58" i="54"/>
  <c r="K58" i="54"/>
  <c r="H58" i="54"/>
  <c r="G58" i="54"/>
  <c r="F58" i="54"/>
  <c r="E58" i="54"/>
  <c r="D58" i="54"/>
  <c r="P58" i="35"/>
  <c r="O58" i="35"/>
  <c r="N58" i="35"/>
  <c r="M58" i="35"/>
  <c r="L58" i="35"/>
  <c r="K58" i="35"/>
  <c r="H58" i="35"/>
  <c r="G58" i="35"/>
  <c r="F58" i="35"/>
  <c r="E58" i="35"/>
  <c r="L13" i="52" l="1"/>
  <c r="L12" i="52"/>
  <c r="L11" i="52"/>
  <c r="B5" i="52"/>
  <c r="L13" i="51"/>
  <c r="L12" i="51"/>
  <c r="L11" i="51"/>
  <c r="B5" i="51"/>
  <c r="L13" i="50"/>
  <c r="L12" i="50"/>
  <c r="L11" i="50"/>
  <c r="B5" i="50"/>
  <c r="L13" i="49"/>
  <c r="L12" i="49"/>
  <c r="L11" i="49"/>
  <c r="B5" i="49"/>
  <c r="L13" i="48"/>
  <c r="L12" i="48"/>
  <c r="L11" i="48"/>
  <c r="B5" i="48"/>
  <c r="L13" i="47"/>
  <c r="L12" i="47"/>
  <c r="L11" i="47"/>
  <c r="B5" i="47"/>
  <c r="L13" i="46"/>
  <c r="L12" i="46"/>
  <c r="L11" i="46"/>
  <c r="B5" i="46"/>
  <c r="M81" i="47"/>
  <c r="M79" i="47"/>
  <c r="M77" i="47"/>
  <c r="M81" i="48"/>
  <c r="M79" i="48"/>
  <c r="M77" i="48"/>
  <c r="M81" i="49"/>
  <c r="M79" i="49"/>
  <c r="M77" i="49"/>
  <c r="M81" i="50"/>
  <c r="M79" i="50"/>
  <c r="M77" i="50"/>
  <c r="M81" i="51"/>
  <c r="M79" i="51"/>
  <c r="M77" i="51"/>
  <c r="M81" i="52"/>
  <c r="M79" i="52"/>
  <c r="M77" i="52"/>
  <c r="M81" i="46"/>
  <c r="M79" i="46"/>
  <c r="M77" i="46"/>
  <c r="L13" i="45"/>
  <c r="L12" i="45"/>
  <c r="L11" i="45"/>
  <c r="B5" i="45"/>
  <c r="M81" i="45"/>
  <c r="M79" i="45"/>
  <c r="M77" i="45"/>
  <c r="C37" i="34"/>
  <c r="A37" i="34"/>
  <c r="C36" i="34"/>
  <c r="C39" i="34"/>
  <c r="A39" i="34"/>
  <c r="C38" i="34"/>
  <c r="C35" i="34"/>
  <c r="A35" i="34"/>
  <c r="C34" i="34"/>
  <c r="C33" i="34"/>
  <c r="A33" i="34"/>
  <c r="C32" i="34"/>
  <c r="C31" i="34"/>
  <c r="A31" i="34"/>
  <c r="C30" i="34"/>
  <c r="C29" i="34"/>
  <c r="A29" i="34"/>
  <c r="C28" i="34"/>
  <c r="C27" i="34"/>
  <c r="A27" i="34"/>
  <c r="C26" i="34"/>
  <c r="C25" i="34"/>
  <c r="A25" i="34"/>
  <c r="C24" i="34"/>
  <c r="C42" i="26"/>
  <c r="B42" i="26"/>
  <c r="A42" i="26"/>
  <c r="C41" i="26"/>
  <c r="A41" i="26"/>
  <c r="C40" i="26"/>
  <c r="B40" i="26"/>
  <c r="A40" i="26"/>
  <c r="C39" i="26"/>
  <c r="A39" i="26"/>
  <c r="C38" i="26"/>
  <c r="B38" i="26"/>
  <c r="A38" i="26"/>
  <c r="C37" i="26"/>
  <c r="A37" i="26"/>
  <c r="C36" i="26"/>
  <c r="B36" i="26"/>
  <c r="A36" i="26"/>
  <c r="C35" i="26"/>
  <c r="A35" i="26"/>
  <c r="I60" i="54"/>
  <c r="I58" i="54"/>
  <c r="I57" i="54"/>
  <c r="I56" i="54"/>
  <c r="P55" i="54"/>
  <c r="O55" i="54"/>
  <c r="N55" i="54"/>
  <c r="M55" i="54"/>
  <c r="L55" i="54"/>
  <c r="K55" i="54"/>
  <c r="I55" i="54"/>
  <c r="H55" i="54"/>
  <c r="G55" i="54"/>
  <c r="F55" i="54"/>
  <c r="E55" i="54"/>
  <c r="D55" i="54"/>
  <c r="C55" i="54"/>
  <c r="Q54" i="54"/>
  <c r="Q52" i="54"/>
  <c r="I52" i="54"/>
  <c r="P51" i="54"/>
  <c r="O51" i="54"/>
  <c r="N51" i="54"/>
  <c r="M51" i="54"/>
  <c r="L51" i="54"/>
  <c r="K51" i="54"/>
  <c r="I51" i="54"/>
  <c r="H51" i="54"/>
  <c r="G51" i="54"/>
  <c r="F51" i="54"/>
  <c r="E51" i="54"/>
  <c r="D51" i="54"/>
  <c r="C51" i="54"/>
  <c r="Q50" i="54"/>
  <c r="I50" i="54"/>
  <c r="I49" i="54"/>
  <c r="P48" i="54"/>
  <c r="O48" i="54"/>
  <c r="N48" i="54"/>
  <c r="M48" i="54"/>
  <c r="L48" i="54"/>
  <c r="K48" i="54"/>
  <c r="I48" i="54"/>
  <c r="H48" i="54"/>
  <c r="G48" i="54"/>
  <c r="F48" i="54"/>
  <c r="E48" i="54"/>
  <c r="D48" i="54"/>
  <c r="C48" i="54"/>
  <c r="Q47" i="54"/>
  <c r="I47" i="54"/>
  <c r="Q46" i="54"/>
  <c r="R50" i="52" s="1"/>
  <c r="I46" i="54"/>
  <c r="J46" i="54" s="1"/>
  <c r="I44" i="54"/>
  <c r="I43" i="54"/>
  <c r="I42" i="54"/>
  <c r="I39" i="54"/>
  <c r="I38" i="54"/>
  <c r="I37" i="54"/>
  <c r="Q36" i="54"/>
  <c r="J39" i="34" s="1"/>
  <c r="I36" i="54"/>
  <c r="Q35" i="54"/>
  <c r="I35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Q34" i="54"/>
  <c r="I34" i="54"/>
  <c r="Q33" i="54"/>
  <c r="I33" i="54"/>
  <c r="Q32" i="54"/>
  <c r="I32" i="54"/>
  <c r="Q31" i="54"/>
  <c r="R23" i="52" s="1"/>
  <c r="I31" i="54"/>
  <c r="I29" i="54"/>
  <c r="J29" i="54" s="1"/>
  <c r="Q28" i="54"/>
  <c r="Q26" i="54"/>
  <c r="I26" i="54"/>
  <c r="J26" i="54" s="1"/>
  <c r="Q25" i="54"/>
  <c r="Q24" i="54"/>
  <c r="A21" i="54"/>
  <c r="I21" i="54" s="1"/>
  <c r="Y14" i="54"/>
  <c r="Y15" i="54" s="1"/>
  <c r="Z13" i="54"/>
  <c r="M12" i="54"/>
  <c r="U2" i="54" s="1"/>
  <c r="AD10" i="54"/>
  <c r="AD9" i="54"/>
  <c r="I41" i="54"/>
  <c r="M7" i="54"/>
  <c r="AG7" i="54" s="1"/>
  <c r="W29" i="54"/>
  <c r="Q4" i="54"/>
  <c r="H4" i="54"/>
  <c r="I2" i="54"/>
  <c r="I1" i="54"/>
  <c r="I60" i="53"/>
  <c r="I58" i="53"/>
  <c r="I57" i="53"/>
  <c r="I56" i="53"/>
  <c r="P55" i="53"/>
  <c r="O55" i="53"/>
  <c r="N55" i="53"/>
  <c r="M55" i="53"/>
  <c r="L55" i="53"/>
  <c r="K55" i="53"/>
  <c r="I55" i="53"/>
  <c r="H55" i="53"/>
  <c r="G55" i="53"/>
  <c r="F55" i="53"/>
  <c r="E55" i="53"/>
  <c r="D55" i="53"/>
  <c r="C55" i="53"/>
  <c r="Q54" i="53"/>
  <c r="Q52" i="53"/>
  <c r="I52" i="53"/>
  <c r="P51" i="53"/>
  <c r="O51" i="53"/>
  <c r="N51" i="53"/>
  <c r="M51" i="53"/>
  <c r="L51" i="53"/>
  <c r="K51" i="53"/>
  <c r="I51" i="53"/>
  <c r="H51" i="53"/>
  <c r="G51" i="53"/>
  <c r="F51" i="53"/>
  <c r="E51" i="53"/>
  <c r="D51" i="53"/>
  <c r="C51" i="53"/>
  <c r="Q50" i="53"/>
  <c r="I50" i="53"/>
  <c r="I49" i="53"/>
  <c r="P48" i="53"/>
  <c r="O48" i="53"/>
  <c r="N48" i="53"/>
  <c r="M48" i="53"/>
  <c r="L48" i="53"/>
  <c r="K48" i="53"/>
  <c r="I48" i="53"/>
  <c r="H48" i="53"/>
  <c r="G48" i="53"/>
  <c r="F48" i="53"/>
  <c r="E48" i="53"/>
  <c r="D48" i="53"/>
  <c r="C48" i="53"/>
  <c r="Q47" i="53"/>
  <c r="I47" i="53"/>
  <c r="Q46" i="53"/>
  <c r="R50" i="51" s="1"/>
  <c r="I46" i="53"/>
  <c r="J46" i="53" s="1"/>
  <c r="I44" i="53"/>
  <c r="I43" i="53"/>
  <c r="I42" i="53"/>
  <c r="I39" i="53"/>
  <c r="I38" i="53"/>
  <c r="I37" i="53"/>
  <c r="Q36" i="53"/>
  <c r="J37" i="34" s="1"/>
  <c r="I36" i="53"/>
  <c r="Q35" i="53"/>
  <c r="I35" i="53"/>
  <c r="AJ34" i="53"/>
  <c r="AI34" i="53"/>
  <c r="AH34" i="53"/>
  <c r="AG34" i="53"/>
  <c r="AF34" i="53"/>
  <c r="AE34" i="53"/>
  <c r="AD34" i="53"/>
  <c r="AC34" i="53"/>
  <c r="AB34" i="53"/>
  <c r="AA34" i="53"/>
  <c r="Z34" i="53"/>
  <c r="Y34" i="53"/>
  <c r="Q34" i="53"/>
  <c r="I34" i="53"/>
  <c r="Q33" i="53"/>
  <c r="I33" i="53"/>
  <c r="Q32" i="53"/>
  <c r="I32" i="53"/>
  <c r="Q31" i="53"/>
  <c r="R23" i="51" s="1"/>
  <c r="I31" i="53"/>
  <c r="Q28" i="53"/>
  <c r="I27" i="53"/>
  <c r="J27" i="53" s="1"/>
  <c r="Q26" i="53"/>
  <c r="Q25" i="53"/>
  <c r="Q24" i="53"/>
  <c r="A21" i="53"/>
  <c r="B7" i="51" s="1"/>
  <c r="Y14" i="53"/>
  <c r="Y15" i="53" s="1"/>
  <c r="Z13" i="53"/>
  <c r="M12" i="53"/>
  <c r="AD10" i="53"/>
  <c r="AD9" i="53"/>
  <c r="I41" i="53"/>
  <c r="M7" i="53"/>
  <c r="W29" i="53"/>
  <c r="Q4" i="53"/>
  <c r="H4" i="53"/>
  <c r="I2" i="53"/>
  <c r="L1" i="53"/>
  <c r="I1" i="53"/>
  <c r="I60" i="56"/>
  <c r="I58" i="56"/>
  <c r="I57" i="56"/>
  <c r="I56" i="56"/>
  <c r="P55" i="56"/>
  <c r="O55" i="56"/>
  <c r="N55" i="56"/>
  <c r="M55" i="56"/>
  <c r="L55" i="56"/>
  <c r="K55" i="56"/>
  <c r="I55" i="56"/>
  <c r="H55" i="56"/>
  <c r="G55" i="56"/>
  <c r="F55" i="56"/>
  <c r="E55" i="56"/>
  <c r="D55" i="56"/>
  <c r="C55" i="56"/>
  <c r="Q54" i="56"/>
  <c r="Q52" i="56"/>
  <c r="I52" i="56"/>
  <c r="P51" i="56"/>
  <c r="O51" i="56"/>
  <c r="N51" i="56"/>
  <c r="M51" i="56"/>
  <c r="L51" i="56"/>
  <c r="K51" i="56"/>
  <c r="I51" i="56"/>
  <c r="H51" i="56"/>
  <c r="G51" i="56"/>
  <c r="F51" i="56"/>
  <c r="E51" i="56"/>
  <c r="D51" i="56"/>
  <c r="C51" i="56"/>
  <c r="Q50" i="56"/>
  <c r="I50" i="56"/>
  <c r="I49" i="56"/>
  <c r="P48" i="56"/>
  <c r="O48" i="56"/>
  <c r="N48" i="56"/>
  <c r="M48" i="56"/>
  <c r="L48" i="56"/>
  <c r="K48" i="56"/>
  <c r="I48" i="56"/>
  <c r="H48" i="56"/>
  <c r="G48" i="56"/>
  <c r="F48" i="56"/>
  <c r="E48" i="56"/>
  <c r="D48" i="56"/>
  <c r="C48" i="56"/>
  <c r="Q47" i="56"/>
  <c r="I47" i="56"/>
  <c r="Q46" i="56"/>
  <c r="R50" i="50" s="1"/>
  <c r="I44" i="56"/>
  <c r="I43" i="56"/>
  <c r="I42" i="56"/>
  <c r="I39" i="56"/>
  <c r="I38" i="56"/>
  <c r="I37" i="56"/>
  <c r="Q36" i="56"/>
  <c r="J35" i="34" s="1"/>
  <c r="I36" i="56"/>
  <c r="Q35" i="56"/>
  <c r="I35" i="56"/>
  <c r="AJ34" i="56"/>
  <c r="AI34" i="56"/>
  <c r="AH34" i="56"/>
  <c r="AG34" i="56"/>
  <c r="AF34" i="56"/>
  <c r="AE34" i="56"/>
  <c r="AD34" i="56"/>
  <c r="AC34" i="56"/>
  <c r="AB34" i="56"/>
  <c r="AA34" i="56"/>
  <c r="Z34" i="56"/>
  <c r="Y34" i="56"/>
  <c r="Q34" i="56"/>
  <c r="I34" i="56"/>
  <c r="Q33" i="56"/>
  <c r="I33" i="56"/>
  <c r="Q32" i="56"/>
  <c r="I32" i="56"/>
  <c r="Q31" i="56"/>
  <c r="R23" i="50" s="1"/>
  <c r="I31" i="56"/>
  <c r="I29" i="56"/>
  <c r="J29" i="56" s="1"/>
  <c r="Q28" i="56"/>
  <c r="Q26" i="56"/>
  <c r="I26" i="56"/>
  <c r="J26" i="56" s="1"/>
  <c r="Q25" i="56"/>
  <c r="Q24" i="56"/>
  <c r="A21" i="56"/>
  <c r="I21" i="56" s="1"/>
  <c r="Y14" i="56"/>
  <c r="Y15" i="56" s="1"/>
  <c r="Z13" i="56"/>
  <c r="M12" i="56"/>
  <c r="AD10" i="56"/>
  <c r="AD9" i="56"/>
  <c r="I41" i="56"/>
  <c r="M7" i="56"/>
  <c r="W29" i="56"/>
  <c r="Q4" i="56"/>
  <c r="H4" i="56"/>
  <c r="I2" i="56"/>
  <c r="L1" i="56"/>
  <c r="I1" i="56"/>
  <c r="I60" i="55"/>
  <c r="I58" i="55"/>
  <c r="I57" i="55"/>
  <c r="I56" i="55"/>
  <c r="P55" i="55"/>
  <c r="O55" i="55"/>
  <c r="N55" i="55"/>
  <c r="M55" i="55"/>
  <c r="L55" i="55"/>
  <c r="K55" i="55"/>
  <c r="I55" i="55"/>
  <c r="H55" i="55"/>
  <c r="G55" i="55"/>
  <c r="F55" i="55"/>
  <c r="E55" i="55"/>
  <c r="D55" i="55"/>
  <c r="C55" i="55"/>
  <c r="Q54" i="55"/>
  <c r="Q52" i="55"/>
  <c r="I52" i="55"/>
  <c r="P51" i="55"/>
  <c r="O51" i="55"/>
  <c r="N51" i="55"/>
  <c r="M51" i="55"/>
  <c r="L51" i="55"/>
  <c r="K51" i="55"/>
  <c r="I51" i="55"/>
  <c r="H51" i="55"/>
  <c r="G51" i="55"/>
  <c r="F51" i="55"/>
  <c r="E51" i="55"/>
  <c r="D51" i="55"/>
  <c r="C51" i="55"/>
  <c r="Q50" i="55"/>
  <c r="I50" i="55"/>
  <c r="I49" i="55"/>
  <c r="P48" i="55"/>
  <c r="O48" i="55"/>
  <c r="N48" i="55"/>
  <c r="M48" i="55"/>
  <c r="L48" i="55"/>
  <c r="K48" i="55"/>
  <c r="I48" i="55"/>
  <c r="H48" i="55"/>
  <c r="G48" i="55"/>
  <c r="F48" i="55"/>
  <c r="E48" i="55"/>
  <c r="D48" i="55"/>
  <c r="C48" i="55"/>
  <c r="Q47" i="55"/>
  <c r="I47" i="55"/>
  <c r="Q46" i="55"/>
  <c r="R50" i="49" s="1"/>
  <c r="I44" i="55"/>
  <c r="I43" i="55"/>
  <c r="I42" i="55"/>
  <c r="I39" i="55"/>
  <c r="I38" i="55"/>
  <c r="I37" i="55"/>
  <c r="Q36" i="55"/>
  <c r="J33" i="34" s="1"/>
  <c r="I36" i="55"/>
  <c r="Q35" i="55"/>
  <c r="I35" i="55"/>
  <c r="AJ34" i="55"/>
  <c r="AI34" i="55"/>
  <c r="AH34" i="55"/>
  <c r="AG34" i="55"/>
  <c r="AF34" i="55"/>
  <c r="AE34" i="55"/>
  <c r="AD34" i="55"/>
  <c r="AC34" i="55"/>
  <c r="AB34" i="55"/>
  <c r="AA34" i="55"/>
  <c r="Z34" i="55"/>
  <c r="Y34" i="55"/>
  <c r="Q34" i="55"/>
  <c r="I34" i="55"/>
  <c r="Q33" i="55"/>
  <c r="I33" i="55"/>
  <c r="Q32" i="55"/>
  <c r="I32" i="55"/>
  <c r="Q31" i="55"/>
  <c r="R23" i="49" s="1"/>
  <c r="I31" i="55"/>
  <c r="I30" i="55"/>
  <c r="J30" i="55" s="1"/>
  <c r="Q28" i="55"/>
  <c r="I28" i="55"/>
  <c r="J28" i="55" s="1"/>
  <c r="Q26" i="55"/>
  <c r="I26" i="55"/>
  <c r="J26" i="55" s="1"/>
  <c r="Q25" i="55"/>
  <c r="Q24" i="55"/>
  <c r="A21" i="55"/>
  <c r="B7" i="49" s="1"/>
  <c r="Y14" i="55"/>
  <c r="Y15" i="55" s="1"/>
  <c r="Z13" i="55"/>
  <c r="M12" i="55"/>
  <c r="AD10" i="55"/>
  <c r="AD9" i="55"/>
  <c r="I41" i="55"/>
  <c r="M7" i="55"/>
  <c r="W29" i="55"/>
  <c r="Q4" i="55"/>
  <c r="H4" i="55"/>
  <c r="I2" i="55"/>
  <c r="L1" i="55"/>
  <c r="I1" i="55"/>
  <c r="C34" i="26"/>
  <c r="B34" i="26"/>
  <c r="A34" i="26"/>
  <c r="C33" i="26"/>
  <c r="A33" i="26"/>
  <c r="I60" i="60"/>
  <c r="I58" i="60"/>
  <c r="I57" i="60"/>
  <c r="I56" i="60"/>
  <c r="P55" i="60"/>
  <c r="O55" i="60"/>
  <c r="N55" i="60"/>
  <c r="M55" i="60"/>
  <c r="L55" i="60"/>
  <c r="K55" i="60"/>
  <c r="I55" i="60"/>
  <c r="H55" i="60"/>
  <c r="G55" i="60"/>
  <c r="F55" i="60"/>
  <c r="E55" i="60"/>
  <c r="D55" i="60"/>
  <c r="C55" i="60"/>
  <c r="Q54" i="60"/>
  <c r="Q52" i="60"/>
  <c r="I52" i="60"/>
  <c r="P51" i="60"/>
  <c r="O51" i="60"/>
  <c r="N51" i="60"/>
  <c r="M51" i="60"/>
  <c r="L51" i="60"/>
  <c r="K51" i="60"/>
  <c r="I51" i="60"/>
  <c r="H51" i="60"/>
  <c r="G51" i="60"/>
  <c r="F51" i="60"/>
  <c r="E51" i="60"/>
  <c r="D51" i="60"/>
  <c r="C51" i="60"/>
  <c r="Q50" i="60"/>
  <c r="I50" i="60"/>
  <c r="I49" i="60"/>
  <c r="P48" i="60"/>
  <c r="O48" i="60"/>
  <c r="N48" i="60"/>
  <c r="M48" i="60"/>
  <c r="L48" i="60"/>
  <c r="K48" i="60"/>
  <c r="I48" i="60"/>
  <c r="H48" i="60"/>
  <c r="G48" i="60"/>
  <c r="F48" i="60"/>
  <c r="E48" i="60"/>
  <c r="D48" i="60"/>
  <c r="C48" i="60"/>
  <c r="Q47" i="60"/>
  <c r="I47" i="60"/>
  <c r="Q46" i="60"/>
  <c r="R50" i="48" s="1"/>
  <c r="I44" i="60"/>
  <c r="I43" i="60"/>
  <c r="I42" i="60"/>
  <c r="I39" i="60"/>
  <c r="I38" i="60"/>
  <c r="I37" i="60"/>
  <c r="Q36" i="60"/>
  <c r="J31" i="34" s="1"/>
  <c r="I36" i="60"/>
  <c r="Q35" i="60"/>
  <c r="I35" i="60"/>
  <c r="AJ34" i="60"/>
  <c r="AI34" i="60"/>
  <c r="AH34" i="60"/>
  <c r="AG34" i="60"/>
  <c r="AF34" i="60"/>
  <c r="AE34" i="60"/>
  <c r="AD34" i="60"/>
  <c r="AC34" i="60"/>
  <c r="AB34" i="60"/>
  <c r="AA34" i="60"/>
  <c r="Z34" i="60"/>
  <c r="Y34" i="60"/>
  <c r="Q34" i="60"/>
  <c r="I34" i="60"/>
  <c r="Q33" i="60"/>
  <c r="I33" i="60"/>
  <c r="Q32" i="60"/>
  <c r="I32" i="60"/>
  <c r="Q31" i="60"/>
  <c r="R23" i="48" s="1"/>
  <c r="I31" i="60"/>
  <c r="I30" i="60"/>
  <c r="J30" i="60" s="1"/>
  <c r="I29" i="60"/>
  <c r="J29" i="60" s="1"/>
  <c r="Q28" i="60"/>
  <c r="I28" i="60"/>
  <c r="J28" i="60" s="1"/>
  <c r="Q26" i="60"/>
  <c r="I26" i="60"/>
  <c r="J26" i="60" s="1"/>
  <c r="Q25" i="60"/>
  <c r="Q24" i="60"/>
  <c r="A21" i="60"/>
  <c r="I21" i="60" s="1"/>
  <c r="Y14" i="60"/>
  <c r="Y15" i="60" s="1"/>
  <c r="Z13" i="60"/>
  <c r="M12" i="60"/>
  <c r="AD10" i="60"/>
  <c r="AD9" i="60"/>
  <c r="I41" i="60"/>
  <c r="M7" i="60"/>
  <c r="W29" i="60"/>
  <c r="Q4" i="60"/>
  <c r="H4" i="60"/>
  <c r="I2" i="60"/>
  <c r="L1" i="60"/>
  <c r="I1" i="60"/>
  <c r="C32" i="26"/>
  <c r="B32" i="26"/>
  <c r="A32" i="26"/>
  <c r="C31" i="26"/>
  <c r="A31" i="26"/>
  <c r="I60" i="59"/>
  <c r="I58" i="59"/>
  <c r="I57" i="59"/>
  <c r="I56" i="59"/>
  <c r="P55" i="59"/>
  <c r="O55" i="59"/>
  <c r="N55" i="59"/>
  <c r="M55" i="59"/>
  <c r="L55" i="59"/>
  <c r="K55" i="59"/>
  <c r="I55" i="59"/>
  <c r="H55" i="59"/>
  <c r="G55" i="59"/>
  <c r="F55" i="59"/>
  <c r="E55" i="59"/>
  <c r="D55" i="59"/>
  <c r="C55" i="59"/>
  <c r="Q54" i="59"/>
  <c r="Q52" i="59"/>
  <c r="I52" i="59"/>
  <c r="P51" i="59"/>
  <c r="O51" i="59"/>
  <c r="N51" i="59"/>
  <c r="M51" i="59"/>
  <c r="L51" i="59"/>
  <c r="K51" i="59"/>
  <c r="I51" i="59"/>
  <c r="H51" i="59"/>
  <c r="G51" i="59"/>
  <c r="F51" i="59"/>
  <c r="E51" i="59"/>
  <c r="D51" i="59"/>
  <c r="C51" i="59"/>
  <c r="Q50" i="59"/>
  <c r="I50" i="59"/>
  <c r="I49" i="59"/>
  <c r="P48" i="59"/>
  <c r="O48" i="59"/>
  <c r="N48" i="59"/>
  <c r="M48" i="59"/>
  <c r="L48" i="59"/>
  <c r="K48" i="59"/>
  <c r="I48" i="59"/>
  <c r="H48" i="59"/>
  <c r="G48" i="59"/>
  <c r="F48" i="59"/>
  <c r="E48" i="59"/>
  <c r="D48" i="59"/>
  <c r="C48" i="59"/>
  <c r="Q47" i="59"/>
  <c r="I47" i="59"/>
  <c r="Q46" i="59"/>
  <c r="R50" i="47" s="1"/>
  <c r="I46" i="59"/>
  <c r="J46" i="59" s="1"/>
  <c r="I44" i="59"/>
  <c r="I43" i="59"/>
  <c r="I42" i="59"/>
  <c r="I39" i="59"/>
  <c r="I38" i="59"/>
  <c r="I37" i="59"/>
  <c r="Q36" i="59"/>
  <c r="J29" i="34" s="1"/>
  <c r="I36" i="59"/>
  <c r="Q35" i="59"/>
  <c r="I35" i="59"/>
  <c r="AJ34" i="59"/>
  <c r="AI34" i="59"/>
  <c r="AH34" i="59"/>
  <c r="AG34" i="59"/>
  <c r="AF34" i="59"/>
  <c r="AE34" i="59"/>
  <c r="AD34" i="59"/>
  <c r="AC34" i="59"/>
  <c r="AB34" i="59"/>
  <c r="AA34" i="59"/>
  <c r="Z34" i="59"/>
  <c r="Y34" i="59"/>
  <c r="Q34" i="59"/>
  <c r="I34" i="59"/>
  <c r="Q33" i="59"/>
  <c r="I33" i="59"/>
  <c r="Q32" i="59"/>
  <c r="I32" i="59"/>
  <c r="Q31" i="59"/>
  <c r="R23" i="47" s="1"/>
  <c r="I31" i="59"/>
  <c r="I29" i="59"/>
  <c r="J29" i="59" s="1"/>
  <c r="Q28" i="59"/>
  <c r="I27" i="59"/>
  <c r="J27" i="59" s="1"/>
  <c r="Q26" i="59"/>
  <c r="I26" i="59"/>
  <c r="J26" i="59" s="1"/>
  <c r="Q25" i="59"/>
  <c r="Q24" i="59"/>
  <c r="A21" i="59"/>
  <c r="I21" i="59" s="1"/>
  <c r="Y14" i="59"/>
  <c r="Y15" i="59" s="1"/>
  <c r="Z13" i="59"/>
  <c r="M12" i="59"/>
  <c r="AD10" i="59"/>
  <c r="AD9" i="59"/>
  <c r="I41" i="59"/>
  <c r="M7" i="59"/>
  <c r="S31" i="59" s="1"/>
  <c r="W29" i="59"/>
  <c r="Q4" i="59"/>
  <c r="H4" i="59"/>
  <c r="I2" i="59"/>
  <c r="L1" i="59"/>
  <c r="I1" i="59"/>
  <c r="C30" i="26"/>
  <c r="B30" i="26"/>
  <c r="A30" i="26"/>
  <c r="C29" i="26"/>
  <c r="A29" i="26"/>
  <c r="S31" i="55" l="1"/>
  <c r="S31" i="53"/>
  <c r="S31" i="54"/>
  <c r="W32" i="54" s="1"/>
  <c r="S31" i="60"/>
  <c r="S31" i="56"/>
  <c r="AD8" i="55"/>
  <c r="AD7" i="55"/>
  <c r="S36" i="55" s="1"/>
  <c r="W37" i="55" s="1"/>
  <c r="AD6" i="55"/>
  <c r="Q48" i="53"/>
  <c r="Z14" i="55"/>
  <c r="AD8" i="60"/>
  <c r="AD6" i="60"/>
  <c r="AD7" i="60"/>
  <c r="S36" i="60" s="1"/>
  <c r="W37" i="60" s="1"/>
  <c r="A40" i="53"/>
  <c r="I40" i="53" s="1"/>
  <c r="A40" i="60"/>
  <c r="I40" i="60" s="1"/>
  <c r="Q48" i="60"/>
  <c r="A40" i="56"/>
  <c r="I40" i="56" s="1"/>
  <c r="AD8" i="54"/>
  <c r="AD6" i="54"/>
  <c r="AD7" i="54"/>
  <c r="S36" i="54" s="1"/>
  <c r="W37" i="54" s="1"/>
  <c r="W32" i="59"/>
  <c r="AD8" i="59"/>
  <c r="AD6" i="59"/>
  <c r="AD7" i="59"/>
  <c r="S36" i="59" s="1"/>
  <c r="W37" i="59" s="1"/>
  <c r="Q48" i="59"/>
  <c r="I21" i="55"/>
  <c r="A40" i="54"/>
  <c r="I40" i="54" s="1"/>
  <c r="A40" i="55"/>
  <c r="I40" i="55" s="1"/>
  <c r="AD8" i="56"/>
  <c r="AD6" i="56"/>
  <c r="AD7" i="56"/>
  <c r="S36" i="56" s="1"/>
  <c r="W37" i="56" s="1"/>
  <c r="A40" i="59"/>
  <c r="I40" i="59" s="1"/>
  <c r="AG7" i="55"/>
  <c r="U2" i="55"/>
  <c r="AD8" i="53"/>
  <c r="AD6" i="53"/>
  <c r="AD7" i="53"/>
  <c r="S36" i="53" s="1"/>
  <c r="W37" i="53" s="1"/>
  <c r="Z14" i="56"/>
  <c r="B46" i="53"/>
  <c r="B7" i="50"/>
  <c r="W32" i="53"/>
  <c r="W32" i="55"/>
  <c r="W32" i="56"/>
  <c r="W32" i="60"/>
  <c r="W45" i="60" s="1"/>
  <c r="G42" i="53"/>
  <c r="I21" i="53"/>
  <c r="B7" i="47"/>
  <c r="Q48" i="55"/>
  <c r="Q48" i="56"/>
  <c r="Z14" i="59"/>
  <c r="Z14" i="60"/>
  <c r="Z14" i="53"/>
  <c r="B7" i="48"/>
  <c r="B7" i="52"/>
  <c r="I27" i="54"/>
  <c r="J27" i="54" s="1"/>
  <c r="Q48" i="54"/>
  <c r="Z14" i="54"/>
  <c r="D42" i="54"/>
  <c r="H42" i="54"/>
  <c r="D42" i="59"/>
  <c r="H43" i="59"/>
  <c r="D42" i="60"/>
  <c r="H43" i="60"/>
  <c r="D43" i="56"/>
  <c r="H43" i="56"/>
  <c r="L42" i="56"/>
  <c r="K42" i="55"/>
  <c r="Q56" i="56"/>
  <c r="Q56" i="53"/>
  <c r="Q56" i="54"/>
  <c r="I27" i="55"/>
  <c r="J27" i="55" s="1"/>
  <c r="I28" i="53"/>
  <c r="J28" i="53" s="1"/>
  <c r="G43" i="55"/>
  <c r="Y38" i="53"/>
  <c r="Q23" i="60"/>
  <c r="Q51" i="54"/>
  <c r="Q56" i="55"/>
  <c r="Q29" i="53"/>
  <c r="Y36" i="53"/>
  <c r="Z36" i="53" s="1"/>
  <c r="AA36" i="53" s="1"/>
  <c r="AB36" i="53" s="1"/>
  <c r="AC36" i="53" s="1"/>
  <c r="Y38" i="56"/>
  <c r="Q23" i="55"/>
  <c r="N43" i="55"/>
  <c r="Q29" i="55"/>
  <c r="Q27" i="54"/>
  <c r="Y36" i="54"/>
  <c r="Q22" i="54"/>
  <c r="Q23" i="54"/>
  <c r="Q29" i="54"/>
  <c r="Q51" i="56"/>
  <c r="Q51" i="53"/>
  <c r="I28" i="54"/>
  <c r="J28" i="54" s="1"/>
  <c r="I30" i="54"/>
  <c r="J30" i="54" s="1"/>
  <c r="B46" i="54"/>
  <c r="Q22" i="53"/>
  <c r="I26" i="53"/>
  <c r="J26" i="53" s="1"/>
  <c r="Q27" i="53"/>
  <c r="I29" i="53"/>
  <c r="J29" i="53" s="1"/>
  <c r="Q23" i="53"/>
  <c r="I30" i="53"/>
  <c r="J30" i="53" s="1"/>
  <c r="H42" i="56"/>
  <c r="Q22" i="56"/>
  <c r="I27" i="56"/>
  <c r="J27" i="56" s="1"/>
  <c r="I46" i="56"/>
  <c r="J46" i="56" s="1"/>
  <c r="B46" i="56"/>
  <c r="Q23" i="56"/>
  <c r="Q27" i="56"/>
  <c r="Y36" i="56"/>
  <c r="I28" i="56"/>
  <c r="J28" i="56" s="1"/>
  <c r="Q29" i="56"/>
  <c r="I30" i="56"/>
  <c r="J30" i="56" s="1"/>
  <c r="Q27" i="55"/>
  <c r="Y36" i="55"/>
  <c r="I46" i="55"/>
  <c r="J46" i="55" s="1"/>
  <c r="B46" i="55"/>
  <c r="Q51" i="55"/>
  <c r="I29" i="55"/>
  <c r="J29" i="55" s="1"/>
  <c r="Q22" i="55"/>
  <c r="Q56" i="60"/>
  <c r="Q27" i="60"/>
  <c r="Q51" i="60"/>
  <c r="H42" i="60"/>
  <c r="Y36" i="60"/>
  <c r="Q29" i="60"/>
  <c r="I46" i="60"/>
  <c r="J46" i="60" s="1"/>
  <c r="B46" i="60"/>
  <c r="Q22" i="60"/>
  <c r="I27" i="60"/>
  <c r="J27" i="60" s="1"/>
  <c r="Y38" i="60"/>
  <c r="Q27" i="59"/>
  <c r="Q56" i="59"/>
  <c r="P42" i="59"/>
  <c r="E43" i="59"/>
  <c r="Q29" i="59"/>
  <c r="N42" i="59"/>
  <c r="Q22" i="59"/>
  <c r="D43" i="59"/>
  <c r="I28" i="59"/>
  <c r="J28" i="59" s="1"/>
  <c r="Y36" i="59"/>
  <c r="B46" i="59"/>
  <c r="Q51" i="59"/>
  <c r="Q23" i="59"/>
  <c r="I30" i="59"/>
  <c r="J30" i="59" s="1"/>
  <c r="I60" i="58"/>
  <c r="I58" i="58"/>
  <c r="I57" i="58"/>
  <c r="I56" i="58"/>
  <c r="P55" i="58"/>
  <c r="O55" i="58"/>
  <c r="N55" i="58"/>
  <c r="M55" i="58"/>
  <c r="L55" i="58"/>
  <c r="K55" i="58"/>
  <c r="I55" i="58"/>
  <c r="H55" i="58"/>
  <c r="G55" i="58"/>
  <c r="F55" i="58"/>
  <c r="E55" i="58"/>
  <c r="D55" i="58"/>
  <c r="C55" i="58"/>
  <c r="Q54" i="58"/>
  <c r="Q52" i="58"/>
  <c r="I52" i="58"/>
  <c r="P51" i="58"/>
  <c r="O51" i="58"/>
  <c r="N51" i="58"/>
  <c r="M51" i="58"/>
  <c r="L51" i="58"/>
  <c r="K51" i="58"/>
  <c r="I51" i="58"/>
  <c r="H51" i="58"/>
  <c r="G51" i="58"/>
  <c r="F51" i="58"/>
  <c r="E51" i="58"/>
  <c r="D51" i="58"/>
  <c r="C51" i="58"/>
  <c r="Q50" i="58"/>
  <c r="I50" i="58"/>
  <c r="I49" i="58"/>
  <c r="P48" i="58"/>
  <c r="O48" i="58"/>
  <c r="N48" i="58"/>
  <c r="M48" i="58"/>
  <c r="L48" i="58"/>
  <c r="K48" i="58"/>
  <c r="I48" i="58"/>
  <c r="H48" i="58"/>
  <c r="G48" i="58"/>
  <c r="F48" i="58"/>
  <c r="E48" i="58"/>
  <c r="D48" i="58"/>
  <c r="C48" i="58"/>
  <c r="Q47" i="58"/>
  <c r="I47" i="58"/>
  <c r="Q46" i="58"/>
  <c r="R50" i="46" s="1"/>
  <c r="I46" i="58"/>
  <c r="J46" i="58" s="1"/>
  <c r="I44" i="58"/>
  <c r="I43" i="58"/>
  <c r="I42" i="58"/>
  <c r="I39" i="58"/>
  <c r="I38" i="58"/>
  <c r="I37" i="58"/>
  <c r="Q36" i="58"/>
  <c r="J27" i="34" s="1"/>
  <c r="I36" i="58"/>
  <c r="Q35" i="58"/>
  <c r="I35" i="58"/>
  <c r="AJ34" i="58"/>
  <c r="AI34" i="58"/>
  <c r="AH34" i="58"/>
  <c r="AG34" i="58"/>
  <c r="AF34" i="58"/>
  <c r="AE34" i="58"/>
  <c r="AD34" i="58"/>
  <c r="AC34" i="58"/>
  <c r="AB34" i="58"/>
  <c r="AA34" i="58"/>
  <c r="Z34" i="58"/>
  <c r="Y34" i="58"/>
  <c r="Q34" i="58"/>
  <c r="I34" i="58"/>
  <c r="Q33" i="58"/>
  <c r="I33" i="58"/>
  <c r="Q32" i="58"/>
  <c r="I32" i="58"/>
  <c r="Q31" i="58"/>
  <c r="R23" i="46" s="1"/>
  <c r="I31" i="58"/>
  <c r="Q28" i="58"/>
  <c r="I27" i="58"/>
  <c r="J27" i="58" s="1"/>
  <c r="Q26" i="58"/>
  <c r="Q25" i="58"/>
  <c r="Q24" i="58"/>
  <c r="A21" i="58"/>
  <c r="B7" i="46" s="1"/>
  <c r="Y14" i="58"/>
  <c r="Y15" i="58" s="1"/>
  <c r="Z13" i="58"/>
  <c r="M12" i="58"/>
  <c r="AD10" i="58"/>
  <c r="AD9" i="58"/>
  <c r="I41" i="58"/>
  <c r="M7" i="58"/>
  <c r="W29" i="58"/>
  <c r="Q4" i="58"/>
  <c r="H4" i="58"/>
  <c r="I2" i="58"/>
  <c r="L1" i="58"/>
  <c r="I1" i="58"/>
  <c r="C28" i="26"/>
  <c r="C26" i="26"/>
  <c r="B26" i="26"/>
  <c r="A26" i="26"/>
  <c r="C25" i="26"/>
  <c r="A25" i="26"/>
  <c r="W45" i="54" l="1"/>
  <c r="P1" i="54" s="1"/>
  <c r="W45" i="59"/>
  <c r="G1" i="59" s="1"/>
  <c r="W45" i="56"/>
  <c r="P1" i="56" s="1"/>
  <c r="W45" i="55"/>
  <c r="P1" i="55" s="1"/>
  <c r="W45" i="53"/>
  <c r="P1" i="53" s="1"/>
  <c r="S31" i="58"/>
  <c r="W32" i="58" s="1"/>
  <c r="G1" i="60"/>
  <c r="P1" i="60"/>
  <c r="Z14" i="58"/>
  <c r="AD8" i="58"/>
  <c r="AD6" i="58"/>
  <c r="AD7" i="58"/>
  <c r="S36" i="58" s="1"/>
  <c r="W37" i="58" s="1"/>
  <c r="A40" i="58"/>
  <c r="I40" i="58" s="1"/>
  <c r="Q48" i="58"/>
  <c r="I21" i="58"/>
  <c r="D43" i="60"/>
  <c r="G42" i="55"/>
  <c r="D43" i="54"/>
  <c r="D42" i="56"/>
  <c r="G43" i="53"/>
  <c r="L42" i="53"/>
  <c r="Y40" i="53"/>
  <c r="Y42" i="53" s="1"/>
  <c r="C38" i="53" s="1"/>
  <c r="C39" i="53" s="1"/>
  <c r="C45" i="53" s="1"/>
  <c r="I29" i="58"/>
  <c r="J29" i="58" s="1"/>
  <c r="H42" i="59"/>
  <c r="L42" i="54"/>
  <c r="H43" i="54"/>
  <c r="P43" i="56"/>
  <c r="P42" i="56"/>
  <c r="B46" i="58"/>
  <c r="N43" i="60"/>
  <c r="Z38" i="60"/>
  <c r="G42" i="58"/>
  <c r="M42" i="56"/>
  <c r="O42" i="55"/>
  <c r="M42" i="53"/>
  <c r="K43" i="55"/>
  <c r="Q56" i="58"/>
  <c r="Q30" i="54"/>
  <c r="E43" i="54"/>
  <c r="G42" i="56"/>
  <c r="I28" i="58"/>
  <c r="J28" i="58" s="1"/>
  <c r="M42" i="55"/>
  <c r="Y38" i="54"/>
  <c r="Z38" i="54" s="1"/>
  <c r="AA38" i="54" s="1"/>
  <c r="Z38" i="53"/>
  <c r="Q29" i="58"/>
  <c r="Z38" i="56"/>
  <c r="Y38" i="55"/>
  <c r="Y40" i="55" s="1"/>
  <c r="O42" i="59"/>
  <c r="Y38" i="59"/>
  <c r="Z38" i="59" s="1"/>
  <c r="N42" i="55"/>
  <c r="N43" i="59"/>
  <c r="E42" i="59"/>
  <c r="P43" i="54"/>
  <c r="P42" i="54"/>
  <c r="O42" i="53"/>
  <c r="O43" i="53"/>
  <c r="L43" i="56"/>
  <c r="O43" i="56"/>
  <c r="O42" i="56"/>
  <c r="K42" i="56"/>
  <c r="K43" i="56"/>
  <c r="P42" i="55"/>
  <c r="P43" i="55"/>
  <c r="H43" i="55"/>
  <c r="H42" i="55"/>
  <c r="F42" i="55"/>
  <c r="F43" i="55"/>
  <c r="O43" i="55"/>
  <c r="K42" i="54"/>
  <c r="K43" i="54"/>
  <c r="F42" i="54"/>
  <c r="F43" i="54"/>
  <c r="G42" i="54"/>
  <c r="G43" i="54"/>
  <c r="O42" i="54"/>
  <c r="O43" i="54"/>
  <c r="M43" i="54"/>
  <c r="M42" i="54"/>
  <c r="Z36" i="54"/>
  <c r="AA36" i="54" s="1"/>
  <c r="AB36" i="54" s="1"/>
  <c r="AC36" i="54" s="1"/>
  <c r="N43" i="54"/>
  <c r="N42" i="54"/>
  <c r="F42" i="53"/>
  <c r="F43" i="53"/>
  <c r="E42" i="53"/>
  <c r="E43" i="53"/>
  <c r="P42" i="53"/>
  <c r="P43" i="53"/>
  <c r="L43" i="53"/>
  <c r="AD36" i="53"/>
  <c r="N42" i="53"/>
  <c r="N43" i="53"/>
  <c r="M43" i="53"/>
  <c r="C42" i="53"/>
  <c r="C43" i="53"/>
  <c r="H43" i="53"/>
  <c r="H42" i="53"/>
  <c r="Q30" i="53"/>
  <c r="K42" i="53"/>
  <c r="K43" i="53"/>
  <c r="D43" i="53"/>
  <c r="D42" i="53"/>
  <c r="F42" i="56"/>
  <c r="F43" i="56"/>
  <c r="N43" i="56"/>
  <c r="N42" i="56"/>
  <c r="E43" i="56"/>
  <c r="E42" i="56"/>
  <c r="Q30" i="56"/>
  <c r="Y40" i="56"/>
  <c r="Z36" i="56"/>
  <c r="AA36" i="56" s="1"/>
  <c r="AB36" i="56" s="1"/>
  <c r="AC36" i="56" s="1"/>
  <c r="C42" i="56"/>
  <c r="C43" i="56"/>
  <c r="L42" i="55"/>
  <c r="L43" i="55"/>
  <c r="D43" i="55"/>
  <c r="D42" i="55"/>
  <c r="C42" i="55"/>
  <c r="C43" i="55"/>
  <c r="Q30" i="55"/>
  <c r="E43" i="55"/>
  <c r="E42" i="55"/>
  <c r="Z36" i="55"/>
  <c r="AA36" i="55" s="1"/>
  <c r="AB36" i="55" s="1"/>
  <c r="AC36" i="55" s="1"/>
  <c r="L42" i="60"/>
  <c r="L43" i="60"/>
  <c r="P42" i="60"/>
  <c r="P43" i="60"/>
  <c r="F42" i="60"/>
  <c r="F43" i="60"/>
  <c r="O42" i="60"/>
  <c r="O43" i="60"/>
  <c r="K42" i="60"/>
  <c r="K43" i="60"/>
  <c r="G42" i="60"/>
  <c r="G43" i="60"/>
  <c r="E43" i="60"/>
  <c r="E42" i="60"/>
  <c r="M43" i="60"/>
  <c r="M42" i="60"/>
  <c r="Q30" i="60"/>
  <c r="Y40" i="60"/>
  <c r="Z36" i="60"/>
  <c r="AA36" i="60" s="1"/>
  <c r="AB36" i="60" s="1"/>
  <c r="AC36" i="60" s="1"/>
  <c r="L42" i="59"/>
  <c r="L43" i="59"/>
  <c r="M43" i="59"/>
  <c r="M42" i="59"/>
  <c r="P43" i="59"/>
  <c r="G42" i="59"/>
  <c r="G43" i="59"/>
  <c r="K42" i="59"/>
  <c r="K43" i="59"/>
  <c r="F43" i="59"/>
  <c r="F42" i="59"/>
  <c r="Z36" i="59"/>
  <c r="AA36" i="59" s="1"/>
  <c r="AB36" i="59" s="1"/>
  <c r="AC36" i="59" s="1"/>
  <c r="C42" i="59"/>
  <c r="C43" i="59"/>
  <c r="Q30" i="59"/>
  <c r="Q22" i="58"/>
  <c r="Y36" i="58"/>
  <c r="Z36" i="58" s="1"/>
  <c r="AA36" i="58" s="1"/>
  <c r="AB36" i="58" s="1"/>
  <c r="AC36" i="58" s="1"/>
  <c r="I26" i="58"/>
  <c r="J26" i="58" s="1"/>
  <c r="Q27" i="58"/>
  <c r="Q23" i="58"/>
  <c r="Q51" i="58"/>
  <c r="I30" i="58"/>
  <c r="J30" i="58" s="1"/>
  <c r="B28" i="26"/>
  <c r="A28" i="26"/>
  <c r="A27" i="26"/>
  <c r="I2" i="57"/>
  <c r="I1" i="57"/>
  <c r="C27" i="26"/>
  <c r="I60" i="57"/>
  <c r="I58" i="57"/>
  <c r="I57" i="57"/>
  <c r="I56" i="57"/>
  <c r="P55" i="57"/>
  <c r="O55" i="57"/>
  <c r="N55" i="57"/>
  <c r="M55" i="57"/>
  <c r="L55" i="57"/>
  <c r="K55" i="57"/>
  <c r="I55" i="57"/>
  <c r="H55" i="57"/>
  <c r="G55" i="57"/>
  <c r="F55" i="57"/>
  <c r="E55" i="57"/>
  <c r="D55" i="57"/>
  <c r="C55" i="57"/>
  <c r="Q54" i="57"/>
  <c r="Q52" i="57"/>
  <c r="I52" i="57"/>
  <c r="P51" i="57"/>
  <c r="O51" i="57"/>
  <c r="N51" i="57"/>
  <c r="M51" i="57"/>
  <c r="L51" i="57"/>
  <c r="K51" i="57"/>
  <c r="I51" i="57"/>
  <c r="H51" i="57"/>
  <c r="G51" i="57"/>
  <c r="F51" i="57"/>
  <c r="E51" i="57"/>
  <c r="D51" i="57"/>
  <c r="C51" i="57"/>
  <c r="Q50" i="57"/>
  <c r="I50" i="57"/>
  <c r="I49" i="57"/>
  <c r="P48" i="57"/>
  <c r="O48" i="57"/>
  <c r="N48" i="57"/>
  <c r="M48" i="57"/>
  <c r="L48" i="57"/>
  <c r="K48" i="57"/>
  <c r="I48" i="57"/>
  <c r="H48" i="57"/>
  <c r="G48" i="57"/>
  <c r="F48" i="57"/>
  <c r="E48" i="57"/>
  <c r="D48" i="57"/>
  <c r="C48" i="57"/>
  <c r="Q47" i="57"/>
  <c r="I47" i="57"/>
  <c r="Q46" i="57"/>
  <c r="R50" i="45" s="1"/>
  <c r="I46" i="57"/>
  <c r="J46" i="57" s="1"/>
  <c r="I44" i="57"/>
  <c r="I43" i="57"/>
  <c r="I42" i="57"/>
  <c r="I39" i="57"/>
  <c r="I38" i="57"/>
  <c r="I37" i="57"/>
  <c r="Q36" i="57"/>
  <c r="J25" i="34" s="1"/>
  <c r="I36" i="57"/>
  <c r="Q35" i="57"/>
  <c r="I35" i="57"/>
  <c r="AJ34" i="57"/>
  <c r="AI34" i="57"/>
  <c r="AH34" i="57"/>
  <c r="AG34" i="57"/>
  <c r="AF34" i="57"/>
  <c r="AE34" i="57"/>
  <c r="AD34" i="57"/>
  <c r="AC34" i="57"/>
  <c r="AB34" i="57"/>
  <c r="AA34" i="57"/>
  <c r="Z34" i="57"/>
  <c r="Y34" i="57"/>
  <c r="Q34" i="57"/>
  <c r="I34" i="57"/>
  <c r="Q33" i="57"/>
  <c r="I33" i="57"/>
  <c r="Q32" i="57"/>
  <c r="I32" i="57"/>
  <c r="Q31" i="57"/>
  <c r="R23" i="45" s="1"/>
  <c r="I31" i="57"/>
  <c r="I29" i="57"/>
  <c r="J29" i="57" s="1"/>
  <c r="Q28" i="57"/>
  <c r="Q26" i="57"/>
  <c r="Q25" i="57"/>
  <c r="Q24" i="57"/>
  <c r="A21" i="57"/>
  <c r="B7" i="45" s="1"/>
  <c r="Y14" i="57"/>
  <c r="Y15" i="57" s="1"/>
  <c r="Z13" i="57"/>
  <c r="M12" i="57"/>
  <c r="AD10" i="57"/>
  <c r="AD9" i="57"/>
  <c r="I41" i="57"/>
  <c r="M7" i="57"/>
  <c r="W29" i="57"/>
  <c r="Q4" i="57"/>
  <c r="H4" i="57"/>
  <c r="L1" i="57"/>
  <c r="G1" i="54" l="1"/>
  <c r="P1" i="59"/>
  <c r="G1" i="55"/>
  <c r="G1" i="53"/>
  <c r="G1" i="56"/>
  <c r="W45" i="58"/>
  <c r="G1" i="58" s="1"/>
  <c r="S31" i="57"/>
  <c r="W32" i="57" s="1"/>
  <c r="AG7" i="57"/>
  <c r="U2" i="57"/>
  <c r="A40" i="57"/>
  <c r="I40" i="57" s="1"/>
  <c r="AD8" i="57"/>
  <c r="AD6" i="57"/>
  <c r="AD7" i="57"/>
  <c r="S36" i="57" s="1"/>
  <c r="W37" i="57" s="1"/>
  <c r="C41" i="53"/>
  <c r="C44" i="53"/>
  <c r="C58" i="53" s="1"/>
  <c r="Q58" i="53" s="1"/>
  <c r="G43" i="56"/>
  <c r="Q37" i="53"/>
  <c r="R21" i="51" s="1"/>
  <c r="R40" i="51" s="1"/>
  <c r="G43" i="58"/>
  <c r="I21" i="57"/>
  <c r="AA38" i="60"/>
  <c r="AB38" i="60" s="1"/>
  <c r="AC38" i="60" s="1"/>
  <c r="AD38" i="60" s="1"/>
  <c r="AE38" i="60" s="1"/>
  <c r="AF38" i="60" s="1"/>
  <c r="AG38" i="60" s="1"/>
  <c r="AH38" i="60" s="1"/>
  <c r="AI38" i="60" s="1"/>
  <c r="AJ38" i="60" s="1"/>
  <c r="Q48" i="57"/>
  <c r="N42" i="60"/>
  <c r="L43" i="54"/>
  <c r="E42" i="54"/>
  <c r="M43" i="56"/>
  <c r="AB38" i="54"/>
  <c r="AC38" i="54" s="1"/>
  <c r="AD38" i="54" s="1"/>
  <c r="AE38" i="54" s="1"/>
  <c r="AF38" i="54" s="1"/>
  <c r="AG38" i="54" s="1"/>
  <c r="AH38" i="54" s="1"/>
  <c r="AI38" i="54" s="1"/>
  <c r="AJ38" i="54" s="1"/>
  <c r="Y38" i="58"/>
  <c r="Z38" i="58" s="1"/>
  <c r="Y40" i="54"/>
  <c r="Y42" i="54" s="1"/>
  <c r="C38" i="54" s="1"/>
  <c r="C39" i="54" s="1"/>
  <c r="C45" i="54" s="1"/>
  <c r="M42" i="58"/>
  <c r="D42" i="58"/>
  <c r="Q37" i="56"/>
  <c r="F35" i="34" s="1"/>
  <c r="Y40" i="59"/>
  <c r="Y42" i="59" s="1"/>
  <c r="C38" i="59" s="1"/>
  <c r="AA38" i="56"/>
  <c r="AB38" i="56" s="1"/>
  <c r="AC38" i="56" s="1"/>
  <c r="Q56" i="57"/>
  <c r="Q37" i="59"/>
  <c r="F29" i="34" s="1"/>
  <c r="O43" i="59"/>
  <c r="Q43" i="59" s="1"/>
  <c r="M43" i="55"/>
  <c r="Q43" i="55" s="1"/>
  <c r="Q37" i="55"/>
  <c r="E33" i="34" s="1"/>
  <c r="B46" i="57"/>
  <c r="Z14" i="57"/>
  <c r="I26" i="57"/>
  <c r="J26" i="57" s="1"/>
  <c r="Z40" i="53"/>
  <c r="Z42" i="53" s="1"/>
  <c r="D38" i="53" s="1"/>
  <c r="AA38" i="59"/>
  <c r="AB38" i="59" s="1"/>
  <c r="AC38" i="59" s="1"/>
  <c r="AD38" i="59" s="1"/>
  <c r="AE38" i="59" s="1"/>
  <c r="AF38" i="59" s="1"/>
  <c r="AG38" i="59" s="1"/>
  <c r="AH38" i="59" s="1"/>
  <c r="AI38" i="59" s="1"/>
  <c r="AJ38" i="59" s="1"/>
  <c r="Z38" i="55"/>
  <c r="AA38" i="55" s="1"/>
  <c r="AB38" i="55" s="1"/>
  <c r="AC38" i="55" s="1"/>
  <c r="AD38" i="55" s="1"/>
  <c r="AE38" i="55" s="1"/>
  <c r="AF38" i="55" s="1"/>
  <c r="AG38" i="55" s="1"/>
  <c r="AH38" i="55" s="1"/>
  <c r="AI38" i="55" s="1"/>
  <c r="AJ38" i="55" s="1"/>
  <c r="AA38" i="53"/>
  <c r="AB38" i="53" s="1"/>
  <c r="AC38" i="53" s="1"/>
  <c r="M42" i="57"/>
  <c r="Q42" i="56"/>
  <c r="C42" i="54"/>
  <c r="C43" i="54"/>
  <c r="Q37" i="54"/>
  <c r="AD36" i="54"/>
  <c r="C40" i="53"/>
  <c r="AE36" i="53"/>
  <c r="Y43" i="53"/>
  <c r="Q43" i="53"/>
  <c r="Q42" i="53"/>
  <c r="Z40" i="56"/>
  <c r="Y42" i="56"/>
  <c r="C38" i="56" s="1"/>
  <c r="AD36" i="56"/>
  <c r="AD36" i="55"/>
  <c r="Z40" i="55"/>
  <c r="Y42" i="55"/>
  <c r="C38" i="55" s="1"/>
  <c r="Q42" i="55"/>
  <c r="AD36" i="60"/>
  <c r="Z40" i="60"/>
  <c r="Y42" i="60"/>
  <c r="C38" i="60" s="1"/>
  <c r="C39" i="60" s="1"/>
  <c r="C45" i="60" s="1"/>
  <c r="C42" i="60"/>
  <c r="C43" i="60"/>
  <c r="Q43" i="60" s="1"/>
  <c r="Q37" i="60"/>
  <c r="Q42" i="59"/>
  <c r="AD36" i="59"/>
  <c r="H43" i="58"/>
  <c r="H42" i="58"/>
  <c r="F42" i="58"/>
  <c r="F43" i="58"/>
  <c r="E42" i="58"/>
  <c r="E43" i="58"/>
  <c r="Q30" i="58"/>
  <c r="L42" i="58"/>
  <c r="L43" i="58"/>
  <c r="K42" i="58"/>
  <c r="K43" i="58"/>
  <c r="P42" i="58"/>
  <c r="P43" i="58"/>
  <c r="AD36" i="58"/>
  <c r="N42" i="58"/>
  <c r="N43" i="58"/>
  <c r="M43" i="58"/>
  <c r="C42" i="58"/>
  <c r="C43" i="58"/>
  <c r="Q22" i="57"/>
  <c r="H43" i="57"/>
  <c r="Q27" i="57"/>
  <c r="P43" i="57"/>
  <c r="Q29" i="57"/>
  <c r="Y36" i="57"/>
  <c r="Q51" i="57"/>
  <c r="Q23" i="57"/>
  <c r="I27" i="57"/>
  <c r="J27" i="57" s="1"/>
  <c r="I30" i="57"/>
  <c r="J30" i="57" s="1"/>
  <c r="I28" i="57"/>
  <c r="J28" i="57" s="1"/>
  <c r="Y38" i="57"/>
  <c r="P1" i="58" l="1"/>
  <c r="W45" i="57"/>
  <c r="P1" i="57" s="1"/>
  <c r="G40" i="26"/>
  <c r="F40" i="26"/>
  <c r="C41" i="60"/>
  <c r="C44" i="60"/>
  <c r="C58" i="60" s="1"/>
  <c r="Q58" i="60" s="1"/>
  <c r="C41" i="54"/>
  <c r="C44" i="54"/>
  <c r="C58" i="54" s="1"/>
  <c r="Q58" i="54" s="1"/>
  <c r="Q43" i="56"/>
  <c r="E37" i="34"/>
  <c r="I7" i="51"/>
  <c r="Y40" i="58"/>
  <c r="Z40" i="58" s="1"/>
  <c r="Z42" i="58" s="1"/>
  <c r="D38" i="58" s="1"/>
  <c r="F7" i="51"/>
  <c r="F37" i="34"/>
  <c r="R21" i="47"/>
  <c r="R40" i="47" s="1"/>
  <c r="Q43" i="54"/>
  <c r="D43" i="58"/>
  <c r="Q42" i="60"/>
  <c r="Q37" i="58"/>
  <c r="R21" i="46" s="1"/>
  <c r="R40" i="46" s="1"/>
  <c r="Z40" i="59"/>
  <c r="AA40" i="59" s="1"/>
  <c r="AD38" i="56"/>
  <c r="AE38" i="56" s="1"/>
  <c r="AF38" i="56" s="1"/>
  <c r="AG38" i="56" s="1"/>
  <c r="AH38" i="56" s="1"/>
  <c r="AI38" i="56" s="1"/>
  <c r="AJ38" i="56" s="1"/>
  <c r="AC40" i="56"/>
  <c r="E29" i="34"/>
  <c r="F32" i="26"/>
  <c r="F38" i="26"/>
  <c r="I7" i="50"/>
  <c r="F7" i="47"/>
  <c r="G32" i="26"/>
  <c r="I7" i="47"/>
  <c r="F33" i="34"/>
  <c r="AA38" i="58"/>
  <c r="AB38" i="58" s="1"/>
  <c r="AC38" i="58" s="1"/>
  <c r="AD38" i="58" s="1"/>
  <c r="AE38" i="58" s="1"/>
  <c r="AF38" i="58" s="1"/>
  <c r="AG38" i="58" s="1"/>
  <c r="AH38" i="58" s="1"/>
  <c r="AI38" i="58" s="1"/>
  <c r="AJ38" i="58" s="1"/>
  <c r="Q42" i="54"/>
  <c r="Z40" i="54"/>
  <c r="AA40" i="54" s="1"/>
  <c r="I7" i="49"/>
  <c r="M43" i="57"/>
  <c r="G36" i="26"/>
  <c r="E35" i="34"/>
  <c r="F7" i="49"/>
  <c r="G38" i="26"/>
  <c r="F7" i="50"/>
  <c r="R21" i="50"/>
  <c r="R40" i="50" s="1"/>
  <c r="R21" i="49"/>
  <c r="R40" i="49" s="1"/>
  <c r="F36" i="26"/>
  <c r="AC40" i="59"/>
  <c r="AA40" i="53"/>
  <c r="AA42" i="53" s="1"/>
  <c r="E38" i="53" s="1"/>
  <c r="AC40" i="60"/>
  <c r="O43" i="58"/>
  <c r="O42" i="58"/>
  <c r="Q42" i="58" s="1"/>
  <c r="Z38" i="57"/>
  <c r="D43" i="57"/>
  <c r="AD38" i="53"/>
  <c r="AC40" i="53"/>
  <c r="AC40" i="55"/>
  <c r="AC40" i="54"/>
  <c r="R21" i="48"/>
  <c r="R40" i="48" s="1"/>
  <c r="I7" i="48"/>
  <c r="F7" i="48"/>
  <c r="F31" i="34"/>
  <c r="E31" i="34"/>
  <c r="R21" i="52"/>
  <c r="R40" i="52" s="1"/>
  <c r="I7" i="52"/>
  <c r="F39" i="34"/>
  <c r="F7" i="52"/>
  <c r="E39" i="34"/>
  <c r="G42" i="26"/>
  <c r="F42" i="26"/>
  <c r="C40" i="54"/>
  <c r="AD40" i="54"/>
  <c r="AE36" i="54"/>
  <c r="Y43" i="54"/>
  <c r="D39" i="53"/>
  <c r="D45" i="53" s="1"/>
  <c r="AF36" i="53"/>
  <c r="C49" i="53"/>
  <c r="C39" i="56"/>
  <c r="C45" i="56" s="1"/>
  <c r="Z42" i="56"/>
  <c r="D38" i="56" s="1"/>
  <c r="AA40" i="56"/>
  <c r="AE36" i="56"/>
  <c r="C39" i="55"/>
  <c r="C45" i="55" s="1"/>
  <c r="Z42" i="55"/>
  <c r="D38" i="55" s="1"/>
  <c r="AA40" i="55"/>
  <c r="AD40" i="55"/>
  <c r="AE36" i="55"/>
  <c r="G34" i="26"/>
  <c r="F34" i="26"/>
  <c r="Z42" i="60"/>
  <c r="D38" i="60" s="1"/>
  <c r="AA40" i="60"/>
  <c r="C40" i="60"/>
  <c r="Y43" i="60"/>
  <c r="AD40" i="60"/>
  <c r="AE36" i="60"/>
  <c r="AD40" i="59"/>
  <c r="AE36" i="59"/>
  <c r="C39" i="59"/>
  <c r="C45" i="59" s="1"/>
  <c r="AE36" i="58"/>
  <c r="H42" i="57"/>
  <c r="L43" i="57"/>
  <c r="L42" i="57"/>
  <c r="P42" i="57"/>
  <c r="K43" i="57"/>
  <c r="K42" i="57"/>
  <c r="G42" i="57"/>
  <c r="G43" i="57"/>
  <c r="F43" i="57"/>
  <c r="F42" i="57"/>
  <c r="Q30" i="57"/>
  <c r="O43" i="57"/>
  <c r="O42" i="57"/>
  <c r="E43" i="57"/>
  <c r="E42" i="57"/>
  <c r="Y40" i="57"/>
  <c r="Z36" i="57"/>
  <c r="AA36" i="57" s="1"/>
  <c r="AB36" i="57" s="1"/>
  <c r="AC36" i="57" s="1"/>
  <c r="N43" i="57"/>
  <c r="N42" i="57"/>
  <c r="M7" i="35"/>
  <c r="G1" i="57" l="1"/>
  <c r="AG7" i="35"/>
  <c r="C41" i="55"/>
  <c r="C44" i="55"/>
  <c r="C58" i="55" s="1"/>
  <c r="Q58" i="55" s="1"/>
  <c r="C41" i="56"/>
  <c r="C44" i="56"/>
  <c r="C58" i="56" s="1"/>
  <c r="Q58" i="56" s="1"/>
  <c r="Y43" i="59"/>
  <c r="C41" i="59"/>
  <c r="C44" i="59"/>
  <c r="C58" i="59" s="1"/>
  <c r="Q58" i="59" s="1"/>
  <c r="D44" i="53"/>
  <c r="D41" i="53"/>
  <c r="AA40" i="58"/>
  <c r="AA42" i="58" s="1"/>
  <c r="E38" i="58" s="1"/>
  <c r="Z42" i="59"/>
  <c r="D38" i="59" s="1"/>
  <c r="D39" i="59" s="1"/>
  <c r="D45" i="59" s="1"/>
  <c r="Y42" i="58"/>
  <c r="C38" i="58" s="1"/>
  <c r="C39" i="58" s="1"/>
  <c r="C45" i="58" s="1"/>
  <c r="Q43" i="58"/>
  <c r="F30" i="26"/>
  <c r="AD40" i="56"/>
  <c r="AD42" i="56" s="1"/>
  <c r="H38" i="56" s="1"/>
  <c r="H39" i="56" s="1"/>
  <c r="H45" i="56" s="1"/>
  <c r="F7" i="46"/>
  <c r="E27" i="34"/>
  <c r="AD42" i="60"/>
  <c r="H38" i="60" s="1"/>
  <c r="H39" i="60" s="1"/>
  <c r="H45" i="60" s="1"/>
  <c r="I7" i="46"/>
  <c r="G30" i="26"/>
  <c r="AB40" i="53"/>
  <c r="AB42" i="53" s="1"/>
  <c r="F38" i="53" s="1"/>
  <c r="F27" i="34"/>
  <c r="AC40" i="58"/>
  <c r="AD40" i="58"/>
  <c r="D42" i="57"/>
  <c r="Z42" i="54"/>
  <c r="D38" i="54" s="1"/>
  <c r="D39" i="54" s="1"/>
  <c r="D45" i="54" s="1"/>
  <c r="AD42" i="54"/>
  <c r="H38" i="54" s="1"/>
  <c r="H39" i="54" s="1"/>
  <c r="H45" i="54" s="1"/>
  <c r="AD42" i="59"/>
  <c r="H38" i="59" s="1"/>
  <c r="H39" i="59" s="1"/>
  <c r="H45" i="59" s="1"/>
  <c r="AA38" i="57"/>
  <c r="AB38" i="57" s="1"/>
  <c r="AC38" i="57" s="1"/>
  <c r="AD38" i="57" s="1"/>
  <c r="AE38" i="57" s="1"/>
  <c r="AF38" i="57" s="1"/>
  <c r="AG38" i="57" s="1"/>
  <c r="AH38" i="57" s="1"/>
  <c r="AI38" i="57" s="1"/>
  <c r="AJ38" i="57" s="1"/>
  <c r="AD42" i="55"/>
  <c r="H38" i="55" s="1"/>
  <c r="H39" i="55" s="1"/>
  <c r="H45" i="55" s="1"/>
  <c r="AE38" i="53"/>
  <c r="AD40" i="53"/>
  <c r="AD42" i="53" s="1"/>
  <c r="H38" i="53" s="1"/>
  <c r="H39" i="53" s="1"/>
  <c r="H45" i="53" s="1"/>
  <c r="AA42" i="54"/>
  <c r="E38" i="54" s="1"/>
  <c r="AB40" i="54"/>
  <c r="AF36" i="54"/>
  <c r="AE40" i="54"/>
  <c r="AE42" i="54" s="1"/>
  <c r="K38" i="54" s="1"/>
  <c r="AG36" i="53"/>
  <c r="C57" i="53"/>
  <c r="D40" i="53"/>
  <c r="E39" i="53"/>
  <c r="E45" i="53" s="1"/>
  <c r="Z43" i="53"/>
  <c r="AF36" i="56"/>
  <c r="AE40" i="56"/>
  <c r="C40" i="56"/>
  <c r="AA42" i="56"/>
  <c r="E38" i="56" s="1"/>
  <c r="AB40" i="56"/>
  <c r="Y43" i="56"/>
  <c r="D39" i="56"/>
  <c r="D45" i="56" s="1"/>
  <c r="AF36" i="55"/>
  <c r="AE40" i="55"/>
  <c r="AE42" i="55" s="1"/>
  <c r="K38" i="55" s="1"/>
  <c r="D39" i="55"/>
  <c r="D45" i="55" s="1"/>
  <c r="C40" i="55"/>
  <c r="Y43" i="55"/>
  <c r="AA42" i="55"/>
  <c r="E38" i="55" s="1"/>
  <c r="AB40" i="55"/>
  <c r="AF36" i="60"/>
  <c r="AE40" i="60"/>
  <c r="AE42" i="60" s="1"/>
  <c r="K38" i="60" s="1"/>
  <c r="C49" i="60"/>
  <c r="AA42" i="60"/>
  <c r="E38" i="60" s="1"/>
  <c r="AB40" i="60"/>
  <c r="D39" i="60"/>
  <c r="D45" i="60" s="1"/>
  <c r="AF36" i="59"/>
  <c r="AE40" i="59"/>
  <c r="AE42" i="59" s="1"/>
  <c r="K38" i="59" s="1"/>
  <c r="C40" i="59"/>
  <c r="AA42" i="59"/>
  <c r="E38" i="59" s="1"/>
  <c r="AB40" i="59"/>
  <c r="AF36" i="58"/>
  <c r="AE40" i="58"/>
  <c r="D39" i="58"/>
  <c r="D45" i="58" s="1"/>
  <c r="Z40" i="57"/>
  <c r="Y42" i="57"/>
  <c r="C38" i="57" s="1"/>
  <c r="C39" i="57" s="1"/>
  <c r="C45" i="57" s="1"/>
  <c r="C42" i="57"/>
  <c r="C43" i="57"/>
  <c r="Q43" i="57" s="1"/>
  <c r="Q37" i="57"/>
  <c r="AD36" i="57"/>
  <c r="C40" i="58" l="1"/>
  <c r="AB40" i="58"/>
  <c r="AB42" i="58" s="1"/>
  <c r="F38" i="58" s="1"/>
  <c r="D44" i="59"/>
  <c r="D41" i="59"/>
  <c r="D41" i="56"/>
  <c r="D44" i="56"/>
  <c r="E41" i="53"/>
  <c r="E44" i="53"/>
  <c r="H40" i="53"/>
  <c r="H41" i="53"/>
  <c r="H44" i="53"/>
  <c r="H41" i="59"/>
  <c r="H44" i="59"/>
  <c r="C41" i="58"/>
  <c r="C44" i="58"/>
  <c r="C58" i="58" s="1"/>
  <c r="Q58" i="58" s="1"/>
  <c r="AD43" i="56"/>
  <c r="H41" i="56"/>
  <c r="H44" i="56"/>
  <c r="C41" i="57"/>
  <c r="C44" i="57"/>
  <c r="C58" i="57" s="1"/>
  <c r="Q58" i="57" s="1"/>
  <c r="AD43" i="60"/>
  <c r="H44" i="60"/>
  <c r="H41" i="60"/>
  <c r="Z43" i="58"/>
  <c r="D41" i="58"/>
  <c r="D44" i="58"/>
  <c r="D44" i="60"/>
  <c r="D41" i="60"/>
  <c r="AD43" i="55"/>
  <c r="H41" i="55"/>
  <c r="H44" i="55"/>
  <c r="Z43" i="54"/>
  <c r="D41" i="54"/>
  <c r="D44" i="54"/>
  <c r="Z43" i="55"/>
  <c r="D41" i="55"/>
  <c r="D44" i="55"/>
  <c r="AD43" i="54"/>
  <c r="H44" i="54"/>
  <c r="H41" i="54"/>
  <c r="AE42" i="58"/>
  <c r="K38" i="58" s="1"/>
  <c r="K39" i="58" s="1"/>
  <c r="K45" i="58" s="1"/>
  <c r="Y43" i="58"/>
  <c r="Q42" i="57"/>
  <c r="AC42" i="53"/>
  <c r="G38" i="53" s="1"/>
  <c r="G39" i="53" s="1"/>
  <c r="G45" i="53" s="1"/>
  <c r="AE42" i="56"/>
  <c r="K38" i="56" s="1"/>
  <c r="K39" i="56" s="1"/>
  <c r="K45" i="56" s="1"/>
  <c r="AD42" i="58"/>
  <c r="H38" i="58" s="1"/>
  <c r="H39" i="58" s="1"/>
  <c r="H45" i="58" s="1"/>
  <c r="AD43" i="53"/>
  <c r="AC40" i="57"/>
  <c r="AF38" i="53"/>
  <c r="AE40" i="53"/>
  <c r="AE42" i="53" s="1"/>
  <c r="K38" i="53" s="1"/>
  <c r="K39" i="53" s="1"/>
  <c r="K45" i="53" s="1"/>
  <c r="R21" i="45"/>
  <c r="R40" i="45" s="1"/>
  <c r="I7" i="45"/>
  <c r="E25" i="34"/>
  <c r="F7" i="45"/>
  <c r="F25" i="34"/>
  <c r="K39" i="54"/>
  <c r="K45" i="54" s="1"/>
  <c r="E39" i="54"/>
  <c r="E45" i="54" s="1"/>
  <c r="D40" i="54"/>
  <c r="AB42" i="54"/>
  <c r="F38" i="54" s="1"/>
  <c r="AC42" i="54"/>
  <c r="G38" i="54" s="1"/>
  <c r="AG36" i="54"/>
  <c r="AF40" i="54"/>
  <c r="AF42" i="54" s="1"/>
  <c r="L38" i="54" s="1"/>
  <c r="H40" i="54"/>
  <c r="D49" i="53"/>
  <c r="D57" i="53" s="1"/>
  <c r="E40" i="53"/>
  <c r="F39" i="53"/>
  <c r="F45" i="53" s="1"/>
  <c r="AH36" i="53"/>
  <c r="AA43" i="53"/>
  <c r="D40" i="56"/>
  <c r="E39" i="56"/>
  <c r="E45" i="56" s="1"/>
  <c r="AB42" i="56"/>
  <c r="F38" i="56" s="1"/>
  <c r="AC42" i="56"/>
  <c r="G38" i="56" s="1"/>
  <c r="C49" i="56"/>
  <c r="Z43" i="56"/>
  <c r="H40" i="56"/>
  <c r="AG36" i="56"/>
  <c r="AF40" i="56"/>
  <c r="AF42" i="56" s="1"/>
  <c r="L38" i="56" s="1"/>
  <c r="AB42" i="55"/>
  <c r="F38" i="55" s="1"/>
  <c r="AC42" i="55"/>
  <c r="G38" i="55" s="1"/>
  <c r="C49" i="55"/>
  <c r="H40" i="55"/>
  <c r="D40" i="55"/>
  <c r="K39" i="55"/>
  <c r="K45" i="55" s="1"/>
  <c r="E39" i="55"/>
  <c r="E45" i="55" s="1"/>
  <c r="AF40" i="55"/>
  <c r="AF42" i="55" s="1"/>
  <c r="L38" i="55" s="1"/>
  <c r="AG36" i="55"/>
  <c r="K39" i="60"/>
  <c r="K45" i="60" s="1"/>
  <c r="AB42" i="60"/>
  <c r="F38" i="60" s="1"/>
  <c r="AC42" i="60"/>
  <c r="G38" i="60" s="1"/>
  <c r="AG36" i="60"/>
  <c r="AF40" i="60"/>
  <c r="AF42" i="60" s="1"/>
  <c r="L38" i="60" s="1"/>
  <c r="D40" i="60"/>
  <c r="E39" i="60"/>
  <c r="E45" i="60" s="1"/>
  <c r="C57" i="60"/>
  <c r="Z43" i="60"/>
  <c r="H40" i="60"/>
  <c r="AB42" i="59"/>
  <c r="F38" i="59" s="1"/>
  <c r="AC42" i="59"/>
  <c r="G38" i="59" s="1"/>
  <c r="Z43" i="59"/>
  <c r="E39" i="59"/>
  <c r="E45" i="59" s="1"/>
  <c r="H40" i="59"/>
  <c r="AG36" i="59"/>
  <c r="AF40" i="59"/>
  <c r="AF42" i="59" s="1"/>
  <c r="L38" i="59" s="1"/>
  <c r="AD43" i="59"/>
  <c r="C49" i="59"/>
  <c r="D40" i="59"/>
  <c r="K39" i="59"/>
  <c r="K45" i="59" s="1"/>
  <c r="AF40" i="58"/>
  <c r="AF42" i="58" s="1"/>
  <c r="L38" i="58" s="1"/>
  <c r="AG36" i="58"/>
  <c r="D40" i="58"/>
  <c r="E39" i="58"/>
  <c r="E45" i="58" s="1"/>
  <c r="G28" i="26"/>
  <c r="F28" i="26"/>
  <c r="C40" i="57"/>
  <c r="Y43" i="57"/>
  <c r="AD40" i="57"/>
  <c r="AE36" i="57"/>
  <c r="AA40" i="57"/>
  <c r="Z42" i="57"/>
  <c r="D38" i="57" s="1"/>
  <c r="J63" i="35"/>
  <c r="J62" i="35"/>
  <c r="J61" i="35"/>
  <c r="AC42" i="58" l="1"/>
  <c r="G38" i="58" s="1"/>
  <c r="G39" i="58" s="1"/>
  <c r="G45" i="58" s="1"/>
  <c r="C49" i="58"/>
  <c r="C57" i="58" s="1"/>
  <c r="K41" i="58"/>
  <c r="K44" i="58"/>
  <c r="AA43" i="56"/>
  <c r="E44" i="56"/>
  <c r="E41" i="56"/>
  <c r="F44" i="53"/>
  <c r="F41" i="53"/>
  <c r="AA43" i="60"/>
  <c r="E41" i="60"/>
  <c r="E44" i="60"/>
  <c r="AA43" i="59"/>
  <c r="E44" i="59"/>
  <c r="E41" i="59"/>
  <c r="AA43" i="55"/>
  <c r="E41" i="55"/>
  <c r="E44" i="55"/>
  <c r="AA43" i="54"/>
  <c r="E41" i="54"/>
  <c r="E44" i="54"/>
  <c r="AE43" i="56"/>
  <c r="K41" i="56"/>
  <c r="K44" i="56"/>
  <c r="K44" i="53"/>
  <c r="K41" i="53"/>
  <c r="H40" i="58"/>
  <c r="H41" i="58"/>
  <c r="H44" i="58"/>
  <c r="AA43" i="58"/>
  <c r="E44" i="58"/>
  <c r="E41" i="58"/>
  <c r="K44" i="59"/>
  <c r="K41" i="59"/>
  <c r="K44" i="60"/>
  <c r="K41" i="60"/>
  <c r="AE43" i="55"/>
  <c r="K41" i="55"/>
  <c r="K44" i="55"/>
  <c r="AC43" i="53"/>
  <c r="G41" i="53"/>
  <c r="G44" i="53"/>
  <c r="AE43" i="54"/>
  <c r="K41" i="54"/>
  <c r="K44" i="54"/>
  <c r="AD43" i="58"/>
  <c r="AD42" i="57"/>
  <c r="H38" i="57" s="1"/>
  <c r="H39" i="57" s="1"/>
  <c r="H45" i="57" s="1"/>
  <c r="AE43" i="53"/>
  <c r="K40" i="53"/>
  <c r="AG38" i="53"/>
  <c r="AF40" i="53"/>
  <c r="AF42" i="53" s="1"/>
  <c r="L38" i="53" s="1"/>
  <c r="L39" i="53" s="1"/>
  <c r="L45" i="53" s="1"/>
  <c r="F39" i="54"/>
  <c r="F45" i="54" s="1"/>
  <c r="AG40" i="54"/>
  <c r="AG42" i="54" s="1"/>
  <c r="M38" i="54" s="1"/>
  <c r="AH36" i="54"/>
  <c r="L39" i="54"/>
  <c r="L45" i="54" s="1"/>
  <c r="K40" i="54"/>
  <c r="G39" i="54"/>
  <c r="G45" i="54" s="1"/>
  <c r="E40" i="54"/>
  <c r="AI36" i="53"/>
  <c r="F40" i="53"/>
  <c r="AB43" i="53"/>
  <c r="E49" i="53"/>
  <c r="E57" i="53" s="1"/>
  <c r="G40" i="53"/>
  <c r="AG40" i="56"/>
  <c r="AG42" i="56" s="1"/>
  <c r="M38" i="56" s="1"/>
  <c r="AH36" i="56"/>
  <c r="K40" i="56"/>
  <c r="E40" i="56"/>
  <c r="G39" i="56"/>
  <c r="G45" i="56" s="1"/>
  <c r="F39" i="56"/>
  <c r="F45" i="56" s="1"/>
  <c r="D49" i="56"/>
  <c r="D57" i="56" s="1"/>
  <c r="L39" i="56"/>
  <c r="L45" i="56" s="1"/>
  <c r="C57" i="56"/>
  <c r="D49" i="55"/>
  <c r="D57" i="55" s="1"/>
  <c r="AG40" i="55"/>
  <c r="AG42" i="55" s="1"/>
  <c r="M38" i="55" s="1"/>
  <c r="AH36" i="55"/>
  <c r="G39" i="55"/>
  <c r="G45" i="55" s="1"/>
  <c r="E40" i="55"/>
  <c r="L39" i="55"/>
  <c r="L45" i="55" s="1"/>
  <c r="K40" i="55"/>
  <c r="C57" i="55"/>
  <c r="F39" i="55"/>
  <c r="F45" i="55" s="1"/>
  <c r="G39" i="60"/>
  <c r="G45" i="60" s="1"/>
  <c r="F39" i="60"/>
  <c r="F45" i="60" s="1"/>
  <c r="D49" i="60"/>
  <c r="D57" i="60" s="1"/>
  <c r="L39" i="60"/>
  <c r="L45" i="60" s="1"/>
  <c r="K40" i="60"/>
  <c r="E40" i="60"/>
  <c r="AG40" i="60"/>
  <c r="AG42" i="60" s="1"/>
  <c r="M38" i="60" s="1"/>
  <c r="AH36" i="60"/>
  <c r="AE43" i="60"/>
  <c r="D49" i="59"/>
  <c r="D57" i="59" s="1"/>
  <c r="K40" i="59"/>
  <c r="AE43" i="59"/>
  <c r="E40" i="59"/>
  <c r="F39" i="59"/>
  <c r="F45" i="59" s="1"/>
  <c r="L39" i="59"/>
  <c r="L45" i="59" s="1"/>
  <c r="C57" i="59"/>
  <c r="AG40" i="59"/>
  <c r="AG42" i="59" s="1"/>
  <c r="M38" i="59" s="1"/>
  <c r="AH36" i="59"/>
  <c r="G39" i="59"/>
  <c r="G45" i="59" s="1"/>
  <c r="K40" i="58"/>
  <c r="F39" i="58"/>
  <c r="F45" i="58" s="1"/>
  <c r="AG40" i="58"/>
  <c r="AG42" i="58" s="1"/>
  <c r="M38" i="58" s="1"/>
  <c r="AH36" i="58"/>
  <c r="E40" i="58"/>
  <c r="AE43" i="58"/>
  <c r="L39" i="58"/>
  <c r="L45" i="58" s="1"/>
  <c r="D49" i="58"/>
  <c r="D57" i="58" s="1"/>
  <c r="C49" i="57"/>
  <c r="D39" i="57"/>
  <c r="D45" i="57" s="1"/>
  <c r="AA42" i="57"/>
  <c r="E38" i="57" s="1"/>
  <c r="AB40" i="57"/>
  <c r="AF36" i="57"/>
  <c r="AE40" i="57"/>
  <c r="AE42" i="57" s="1"/>
  <c r="K38" i="57" s="1"/>
  <c r="Q50" i="35"/>
  <c r="AB43" i="55" l="1"/>
  <c r="F44" i="55"/>
  <c r="F41" i="55"/>
  <c r="AB43" i="56"/>
  <c r="F44" i="56"/>
  <c r="F41" i="56"/>
  <c r="AB43" i="59"/>
  <c r="F44" i="59"/>
  <c r="F41" i="59"/>
  <c r="F44" i="58"/>
  <c r="F41" i="58"/>
  <c r="AC43" i="60"/>
  <c r="G41" i="60"/>
  <c r="G44" i="60"/>
  <c r="L44" i="55"/>
  <c r="L41" i="55"/>
  <c r="AF43" i="60"/>
  <c r="L44" i="60"/>
  <c r="L41" i="60"/>
  <c r="AC43" i="54"/>
  <c r="G41" i="54"/>
  <c r="G44" i="54"/>
  <c r="Z43" i="57"/>
  <c r="D41" i="57"/>
  <c r="D44" i="57"/>
  <c r="G41" i="59"/>
  <c r="G44" i="59"/>
  <c r="AF43" i="59"/>
  <c r="L44" i="59"/>
  <c r="L41" i="59"/>
  <c r="AC43" i="55"/>
  <c r="G41" i="55"/>
  <c r="G44" i="55"/>
  <c r="AC43" i="56"/>
  <c r="G41" i="56"/>
  <c r="G44" i="56"/>
  <c r="AB43" i="54"/>
  <c r="F44" i="54"/>
  <c r="F41" i="54"/>
  <c r="G41" i="58"/>
  <c r="G44" i="58"/>
  <c r="AF43" i="58"/>
  <c r="L44" i="58"/>
  <c r="L41" i="58"/>
  <c r="AB43" i="60"/>
  <c r="F44" i="60"/>
  <c r="F41" i="60"/>
  <c r="AF43" i="56"/>
  <c r="L44" i="56"/>
  <c r="L41" i="56"/>
  <c r="AF43" i="54"/>
  <c r="L44" i="54"/>
  <c r="L41" i="54"/>
  <c r="AF43" i="53"/>
  <c r="L44" i="53"/>
  <c r="L41" i="53"/>
  <c r="H44" i="57"/>
  <c r="H41" i="57"/>
  <c r="G49" i="53"/>
  <c r="G57" i="53" s="1"/>
  <c r="L40" i="53"/>
  <c r="AH38" i="53"/>
  <c r="AG40" i="53"/>
  <c r="AG42" i="53" s="1"/>
  <c r="M38" i="53" s="1"/>
  <c r="M39" i="53" s="1"/>
  <c r="M45" i="53" s="1"/>
  <c r="M39" i="54"/>
  <c r="M45" i="54" s="1"/>
  <c r="G40" i="54"/>
  <c r="L40" i="54"/>
  <c r="AH40" i="54"/>
  <c r="AH42" i="54" s="1"/>
  <c r="N38" i="54" s="1"/>
  <c r="AI36" i="54"/>
  <c r="F40" i="54"/>
  <c r="F49" i="53"/>
  <c r="F57" i="53" s="1"/>
  <c r="AJ36" i="53"/>
  <c r="M39" i="56"/>
  <c r="M45" i="56" s="1"/>
  <c r="L40" i="56"/>
  <c r="F40" i="56"/>
  <c r="E49" i="56"/>
  <c r="E57" i="56" s="1"/>
  <c r="G40" i="56"/>
  <c r="AH40" i="56"/>
  <c r="AH42" i="56" s="1"/>
  <c r="N38" i="56" s="1"/>
  <c r="AI36" i="56"/>
  <c r="F40" i="55"/>
  <c r="G40" i="55"/>
  <c r="L40" i="55"/>
  <c r="AF43" i="55"/>
  <c r="AH40" i="55"/>
  <c r="AH42" i="55" s="1"/>
  <c r="N38" i="55" s="1"/>
  <c r="AI36" i="55"/>
  <c r="E49" i="55"/>
  <c r="E57" i="55" s="1"/>
  <c r="M39" i="55"/>
  <c r="M45" i="55" s="1"/>
  <c r="M39" i="60"/>
  <c r="M45" i="60" s="1"/>
  <c r="L40" i="60"/>
  <c r="F40" i="60"/>
  <c r="E49" i="60"/>
  <c r="E57" i="60" s="1"/>
  <c r="AH40" i="60"/>
  <c r="AH42" i="60" s="1"/>
  <c r="N38" i="60" s="1"/>
  <c r="AI36" i="60"/>
  <c r="G40" i="60"/>
  <c r="M39" i="59"/>
  <c r="M45" i="59" s="1"/>
  <c r="G40" i="59"/>
  <c r="AC43" i="59"/>
  <c r="AH40" i="59"/>
  <c r="AH42" i="59" s="1"/>
  <c r="N38" i="59" s="1"/>
  <c r="AI36" i="59"/>
  <c r="L40" i="59"/>
  <c r="E49" i="59"/>
  <c r="E57" i="59" s="1"/>
  <c r="F40" i="59"/>
  <c r="F40" i="58"/>
  <c r="AB43" i="58"/>
  <c r="AH40" i="58"/>
  <c r="AH42" i="58" s="1"/>
  <c r="N38" i="58" s="1"/>
  <c r="AI36" i="58"/>
  <c r="G40" i="58"/>
  <c r="E49" i="58"/>
  <c r="E57" i="58" s="1"/>
  <c r="AC43" i="58"/>
  <c r="L40" i="58"/>
  <c r="M39" i="58"/>
  <c r="M45" i="58" s="1"/>
  <c r="H40" i="57"/>
  <c r="K39" i="57"/>
  <c r="K45" i="57" s="1"/>
  <c r="AD43" i="57"/>
  <c r="AG36" i="57"/>
  <c r="AF40" i="57"/>
  <c r="AF42" i="57" s="1"/>
  <c r="L38" i="57" s="1"/>
  <c r="E39" i="57"/>
  <c r="E45" i="57" s="1"/>
  <c r="D40" i="57"/>
  <c r="C57" i="57"/>
  <c r="AB42" i="57"/>
  <c r="F38" i="57" s="1"/>
  <c r="AC42" i="57"/>
  <c r="G38" i="57" s="1"/>
  <c r="Q24" i="35"/>
  <c r="I24" i="35"/>
  <c r="I51" i="35"/>
  <c r="I50" i="35"/>
  <c r="K41" i="57" l="1"/>
  <c r="K44" i="57"/>
  <c r="M41" i="56"/>
  <c r="M44" i="56"/>
  <c r="AG43" i="54"/>
  <c r="M41" i="54"/>
  <c r="M44" i="54"/>
  <c r="AA43" i="57"/>
  <c r="E41" i="57"/>
  <c r="E44" i="57"/>
  <c r="AG43" i="59"/>
  <c r="M41" i="59"/>
  <c r="M44" i="59"/>
  <c r="M41" i="55"/>
  <c r="M44" i="55"/>
  <c r="M41" i="60"/>
  <c r="M44" i="60"/>
  <c r="M41" i="53"/>
  <c r="M44" i="53"/>
  <c r="AG43" i="58"/>
  <c r="M41" i="58"/>
  <c r="M44" i="58"/>
  <c r="M40" i="53"/>
  <c r="AG43" i="53"/>
  <c r="H49" i="53"/>
  <c r="H57" i="53" s="1"/>
  <c r="G49" i="59"/>
  <c r="G57" i="59" s="1"/>
  <c r="G49" i="56"/>
  <c r="G57" i="56" s="1"/>
  <c r="H49" i="58"/>
  <c r="H57" i="58" s="1"/>
  <c r="AI38" i="53"/>
  <c r="AH40" i="53"/>
  <c r="AH42" i="53" s="1"/>
  <c r="N38" i="53" s="1"/>
  <c r="N39" i="53" s="1"/>
  <c r="N45" i="53" s="1"/>
  <c r="H49" i="60"/>
  <c r="H57" i="60" s="1"/>
  <c r="N39" i="54"/>
  <c r="N45" i="54" s="1"/>
  <c r="AJ36" i="54"/>
  <c r="AJ40" i="54" s="1"/>
  <c r="AI40" i="54"/>
  <c r="AI42" i="54" s="1"/>
  <c r="O38" i="54" s="1"/>
  <c r="M40" i="54"/>
  <c r="AJ36" i="56"/>
  <c r="AJ40" i="56" s="1"/>
  <c r="AI40" i="56"/>
  <c r="AI42" i="56" s="1"/>
  <c r="O38" i="56" s="1"/>
  <c r="F49" i="56"/>
  <c r="F57" i="56" s="1"/>
  <c r="M40" i="56"/>
  <c r="AG43" i="56"/>
  <c r="N39" i="56"/>
  <c r="N45" i="56" s="1"/>
  <c r="G49" i="55"/>
  <c r="G57" i="55" s="1"/>
  <c r="F49" i="55"/>
  <c r="F57" i="55" s="1"/>
  <c r="N39" i="55"/>
  <c r="N45" i="55" s="1"/>
  <c r="M40" i="55"/>
  <c r="AG43" i="55"/>
  <c r="AJ36" i="55"/>
  <c r="AJ40" i="55" s="1"/>
  <c r="AI40" i="55"/>
  <c r="AI42" i="55" s="1"/>
  <c r="O38" i="55" s="1"/>
  <c r="G49" i="60"/>
  <c r="G57" i="60" s="1"/>
  <c r="N39" i="60"/>
  <c r="N45" i="60" s="1"/>
  <c r="M40" i="60"/>
  <c r="F49" i="60"/>
  <c r="F57" i="60" s="1"/>
  <c r="AJ36" i="60"/>
  <c r="AJ40" i="60" s="1"/>
  <c r="AI40" i="60"/>
  <c r="AI42" i="60" s="1"/>
  <c r="O38" i="60" s="1"/>
  <c r="AG43" i="60"/>
  <c r="F49" i="59"/>
  <c r="F57" i="59" s="1"/>
  <c r="AJ36" i="59"/>
  <c r="AJ40" i="59" s="1"/>
  <c r="AI40" i="59"/>
  <c r="AI42" i="59" s="1"/>
  <c r="O38" i="59" s="1"/>
  <c r="M40" i="59"/>
  <c r="N39" i="59"/>
  <c r="N45" i="59" s="1"/>
  <c r="AJ36" i="58"/>
  <c r="AJ40" i="58" s="1"/>
  <c r="AI40" i="58"/>
  <c r="AI42" i="58" s="1"/>
  <c r="O38" i="58" s="1"/>
  <c r="F49" i="58"/>
  <c r="F57" i="58" s="1"/>
  <c r="N39" i="58"/>
  <c r="N45" i="58" s="1"/>
  <c r="M40" i="58"/>
  <c r="G39" i="57"/>
  <c r="G45" i="57" s="1"/>
  <c r="AG40" i="57"/>
  <c r="AG42" i="57" s="1"/>
  <c r="M38" i="57" s="1"/>
  <c r="AH36" i="57"/>
  <c r="H49" i="57"/>
  <c r="H57" i="57" s="1"/>
  <c r="F39" i="57"/>
  <c r="F45" i="57" s="1"/>
  <c r="D49" i="57"/>
  <c r="D57" i="57" s="1"/>
  <c r="E40" i="57"/>
  <c r="K40" i="57"/>
  <c r="L39" i="57"/>
  <c r="L45" i="57" s="1"/>
  <c r="AE43" i="57"/>
  <c r="AF43" i="57" l="1"/>
  <c r="L44" i="57"/>
  <c r="L41" i="57"/>
  <c r="G41" i="57"/>
  <c r="G44" i="57"/>
  <c r="AH43" i="56"/>
  <c r="N41" i="56"/>
  <c r="N44" i="56"/>
  <c r="AB43" i="57"/>
  <c r="F44" i="57"/>
  <c r="F41" i="57"/>
  <c r="AH43" i="60"/>
  <c r="N41" i="60"/>
  <c r="N44" i="60"/>
  <c r="N41" i="53"/>
  <c r="N44" i="53"/>
  <c r="N44" i="58"/>
  <c r="N41" i="58"/>
  <c r="AH43" i="59"/>
  <c r="N41" i="59"/>
  <c r="N44" i="59"/>
  <c r="AH43" i="55"/>
  <c r="N44" i="55"/>
  <c r="N41" i="55"/>
  <c r="AH43" i="54"/>
  <c r="N41" i="54"/>
  <c r="N44" i="54"/>
  <c r="G49" i="58"/>
  <c r="G57" i="58" s="1"/>
  <c r="N40" i="53"/>
  <c r="H49" i="59"/>
  <c r="H57" i="59" s="1"/>
  <c r="AH43" i="53"/>
  <c r="K49" i="53"/>
  <c r="K57" i="53" s="1"/>
  <c r="H49" i="55"/>
  <c r="H57" i="55" s="1"/>
  <c r="AJ38" i="53"/>
  <c r="AJ40" i="53" s="1"/>
  <c r="AI40" i="53"/>
  <c r="AI42" i="53" s="1"/>
  <c r="O38" i="53" s="1"/>
  <c r="O39" i="53" s="1"/>
  <c r="O45" i="53" s="1"/>
  <c r="AJ42" i="58"/>
  <c r="P38" i="58" s="1"/>
  <c r="P39" i="58" s="1"/>
  <c r="P45" i="58" s="1"/>
  <c r="AJ42" i="56"/>
  <c r="P38" i="56" s="1"/>
  <c r="Q38" i="56" s="1"/>
  <c r="AJ42" i="55"/>
  <c r="P38" i="55" s="1"/>
  <c r="P39" i="55" s="1"/>
  <c r="P45" i="55" s="1"/>
  <c r="N40" i="54"/>
  <c r="O39" i="54"/>
  <c r="O45" i="54" s="1"/>
  <c r="AJ42" i="54"/>
  <c r="P38" i="54" s="1"/>
  <c r="N40" i="56"/>
  <c r="O39" i="56"/>
  <c r="O45" i="56" s="1"/>
  <c r="O39" i="55"/>
  <c r="O45" i="55" s="1"/>
  <c r="N40" i="55"/>
  <c r="AJ42" i="60"/>
  <c r="P38" i="60" s="1"/>
  <c r="P39" i="60" s="1"/>
  <c r="P45" i="60" s="1"/>
  <c r="O39" i="60"/>
  <c r="O45" i="60" s="1"/>
  <c r="N40" i="60"/>
  <c r="AJ42" i="59"/>
  <c r="P38" i="59" s="1"/>
  <c r="N40" i="59"/>
  <c r="O39" i="59"/>
  <c r="O45" i="59" s="1"/>
  <c r="N40" i="58"/>
  <c r="AH43" i="58"/>
  <c r="O39" i="58"/>
  <c r="O45" i="58" s="1"/>
  <c r="K49" i="57"/>
  <c r="K57" i="57" s="1"/>
  <c r="G40" i="57"/>
  <c r="AC43" i="57"/>
  <c r="E49" i="57"/>
  <c r="E57" i="57" s="1"/>
  <c r="AH40" i="57"/>
  <c r="AH42" i="57" s="1"/>
  <c r="N38" i="57" s="1"/>
  <c r="AI36" i="57"/>
  <c r="L40" i="57"/>
  <c r="F40" i="57"/>
  <c r="M39" i="57"/>
  <c r="M45" i="57" s="1"/>
  <c r="O41" i="58" l="1"/>
  <c r="O44" i="58"/>
  <c r="AJ43" i="60"/>
  <c r="P44" i="60"/>
  <c r="P41" i="60"/>
  <c r="P44" i="55"/>
  <c r="P41" i="55"/>
  <c r="O44" i="55"/>
  <c r="O41" i="55"/>
  <c r="AI43" i="54"/>
  <c r="O44" i="54"/>
  <c r="O41" i="54"/>
  <c r="AJ43" i="58"/>
  <c r="P44" i="58"/>
  <c r="P41" i="58"/>
  <c r="M41" i="57"/>
  <c r="M44" i="57"/>
  <c r="AI43" i="59"/>
  <c r="O41" i="59"/>
  <c r="O44" i="59"/>
  <c r="AI43" i="60"/>
  <c r="O44" i="60"/>
  <c r="O41" i="60"/>
  <c r="AI43" i="56"/>
  <c r="O41" i="56"/>
  <c r="O44" i="56"/>
  <c r="AI43" i="53"/>
  <c r="O41" i="53"/>
  <c r="O44" i="53"/>
  <c r="Q38" i="58"/>
  <c r="O40" i="53"/>
  <c r="K49" i="59"/>
  <c r="K57" i="59" s="1"/>
  <c r="Q38" i="60"/>
  <c r="Q39" i="58"/>
  <c r="G27" i="34" s="1"/>
  <c r="I27" i="34" s="1"/>
  <c r="K49" i="60"/>
  <c r="K57" i="60" s="1"/>
  <c r="K49" i="55"/>
  <c r="K57" i="55" s="1"/>
  <c r="L49" i="53"/>
  <c r="L57" i="53" s="1"/>
  <c r="K49" i="58"/>
  <c r="K57" i="58" s="1"/>
  <c r="AJ42" i="53"/>
  <c r="P38" i="53" s="1"/>
  <c r="H49" i="56"/>
  <c r="H57" i="56" s="1"/>
  <c r="Q38" i="55"/>
  <c r="P39" i="56"/>
  <c r="P45" i="56" s="1"/>
  <c r="O40" i="54"/>
  <c r="P39" i="54"/>
  <c r="P45" i="54" s="1"/>
  <c r="Q38" i="54"/>
  <c r="O40" i="56"/>
  <c r="P40" i="55"/>
  <c r="Q39" i="55"/>
  <c r="O40" i="55"/>
  <c r="AJ43" i="55"/>
  <c r="AI43" i="55"/>
  <c r="P40" i="60"/>
  <c r="Q39" i="60"/>
  <c r="O40" i="60"/>
  <c r="O40" i="59"/>
  <c r="P39" i="59"/>
  <c r="P45" i="59" s="1"/>
  <c r="Q38" i="59"/>
  <c r="AI43" i="58"/>
  <c r="P40" i="58"/>
  <c r="O40" i="58"/>
  <c r="G49" i="57"/>
  <c r="G57" i="57" s="1"/>
  <c r="F49" i="57"/>
  <c r="F57" i="57" s="1"/>
  <c r="M40" i="57"/>
  <c r="L49" i="57"/>
  <c r="L57" i="57" s="1"/>
  <c r="N39" i="57"/>
  <c r="N45" i="57" s="1"/>
  <c r="AG43" i="57"/>
  <c r="AJ36" i="57"/>
  <c r="AJ40" i="57" s="1"/>
  <c r="AI40" i="57"/>
  <c r="AI42" i="57" s="1"/>
  <c r="O38" i="57" s="1"/>
  <c r="H29" i="26" l="1"/>
  <c r="H35" i="26"/>
  <c r="H33" i="26"/>
  <c r="AK43" i="55"/>
  <c r="AK43" i="60"/>
  <c r="AK43" i="58"/>
  <c r="P44" i="54"/>
  <c r="Q44" i="54" s="1"/>
  <c r="R44" i="52" s="1"/>
  <c r="P41" i="54"/>
  <c r="Q41" i="54" s="1"/>
  <c r="P44" i="59"/>
  <c r="Q44" i="59" s="1"/>
  <c r="R44" i="47" s="1"/>
  <c r="P41" i="59"/>
  <c r="Q41" i="59" s="1"/>
  <c r="AH43" i="57"/>
  <c r="N44" i="57"/>
  <c r="N41" i="57"/>
  <c r="AJ43" i="56"/>
  <c r="AK43" i="56" s="1"/>
  <c r="P44" i="56"/>
  <c r="Q44" i="56" s="1"/>
  <c r="R44" i="50" s="1"/>
  <c r="P41" i="56"/>
  <c r="Q41" i="56" s="1"/>
  <c r="P40" i="56"/>
  <c r="Q40" i="56" s="1"/>
  <c r="M49" i="58"/>
  <c r="M57" i="58" s="1"/>
  <c r="M49" i="55"/>
  <c r="M57" i="55" s="1"/>
  <c r="M49" i="59"/>
  <c r="M57" i="59" s="1"/>
  <c r="Q38" i="53"/>
  <c r="P39" i="53"/>
  <c r="P45" i="53" s="1"/>
  <c r="K49" i="56"/>
  <c r="K57" i="56" s="1"/>
  <c r="M49" i="53"/>
  <c r="M57" i="53" s="1"/>
  <c r="L49" i="60"/>
  <c r="L57" i="60" s="1"/>
  <c r="L49" i="59"/>
  <c r="L57" i="59" s="1"/>
  <c r="N49" i="59"/>
  <c r="N57" i="59" s="1"/>
  <c r="L49" i="58"/>
  <c r="L57" i="58" s="1"/>
  <c r="N49" i="58"/>
  <c r="N57" i="58" s="1"/>
  <c r="L49" i="55"/>
  <c r="L57" i="55" s="1"/>
  <c r="N49" i="55"/>
  <c r="N57" i="55" s="1"/>
  <c r="N49" i="53"/>
  <c r="N57" i="53" s="1"/>
  <c r="Q40" i="55"/>
  <c r="Q41" i="60"/>
  <c r="G33" i="34"/>
  <c r="I33" i="34" s="1"/>
  <c r="Q39" i="56"/>
  <c r="H37" i="26" s="1"/>
  <c r="G31" i="34"/>
  <c r="I31" i="34" s="1"/>
  <c r="Q44" i="55"/>
  <c r="R44" i="49" s="1"/>
  <c r="Q41" i="55"/>
  <c r="P40" i="54"/>
  <c r="Q39" i="54"/>
  <c r="H41" i="26" s="1"/>
  <c r="AJ43" i="54"/>
  <c r="AK43" i="54" s="1"/>
  <c r="Q40" i="60"/>
  <c r="Q44" i="60"/>
  <c r="R44" i="48" s="1"/>
  <c r="P40" i="59"/>
  <c r="Q39" i="59"/>
  <c r="H31" i="26" s="1"/>
  <c r="AJ43" i="59"/>
  <c r="AK43" i="59" s="1"/>
  <c r="Q40" i="58"/>
  <c r="Q41" i="58"/>
  <c r="Q44" i="58"/>
  <c r="R44" i="46" s="1"/>
  <c r="AJ42" i="57"/>
  <c r="P38" i="57" s="1"/>
  <c r="Q38" i="57" s="1"/>
  <c r="O39" i="57"/>
  <c r="O45" i="57" s="1"/>
  <c r="N40" i="57"/>
  <c r="M49" i="57"/>
  <c r="M57" i="57" s="1"/>
  <c r="AI43" i="57" l="1"/>
  <c r="O41" i="57"/>
  <c r="O44" i="57"/>
  <c r="AJ43" i="53"/>
  <c r="AK43" i="53" s="1"/>
  <c r="P44" i="53"/>
  <c r="Q44" i="53" s="1"/>
  <c r="R44" i="51" s="1"/>
  <c r="P41" i="53"/>
  <c r="Q41" i="53" s="1"/>
  <c r="R42" i="50"/>
  <c r="R48" i="50" s="1"/>
  <c r="R42" i="49"/>
  <c r="R48" i="49" s="1"/>
  <c r="M49" i="60"/>
  <c r="M57" i="60" s="1"/>
  <c r="O49" i="53"/>
  <c r="O57" i="53" s="1"/>
  <c r="L49" i="56"/>
  <c r="L57" i="56" s="1"/>
  <c r="M49" i="56"/>
  <c r="M57" i="56" s="1"/>
  <c r="P40" i="53"/>
  <c r="Q39" i="53"/>
  <c r="G37" i="34" s="1"/>
  <c r="I37" i="34" s="1"/>
  <c r="P49" i="58"/>
  <c r="P57" i="58" s="1"/>
  <c r="P49" i="55"/>
  <c r="P57" i="55" s="1"/>
  <c r="R42" i="48"/>
  <c r="R48" i="48" s="1"/>
  <c r="G29" i="34"/>
  <c r="I29" i="34" s="1"/>
  <c r="R42" i="46"/>
  <c r="R48" i="46" s="1"/>
  <c r="G39" i="34"/>
  <c r="I39" i="34" s="1"/>
  <c r="G35" i="34"/>
  <c r="I35" i="34" s="1"/>
  <c r="Q40" i="54"/>
  <c r="R42" i="52" s="1"/>
  <c r="R48" i="52" s="1"/>
  <c r="Q40" i="59"/>
  <c r="R42" i="47" s="1"/>
  <c r="R48" i="47" s="1"/>
  <c r="P39" i="57"/>
  <c r="P45" i="57" s="1"/>
  <c r="N49" i="57"/>
  <c r="N57" i="57" s="1"/>
  <c r="O40" i="57"/>
  <c r="A40" i="35"/>
  <c r="H39" i="26" l="1"/>
  <c r="AJ43" i="57"/>
  <c r="AK43" i="57" s="1"/>
  <c r="Q45" i="57"/>
  <c r="P44" i="57"/>
  <c r="Q44" i="57" s="1"/>
  <c r="R44" i="45" s="1"/>
  <c r="P41" i="57"/>
  <c r="Q41" i="57" s="1"/>
  <c r="Q45" i="53"/>
  <c r="N49" i="56"/>
  <c r="N57" i="56" s="1"/>
  <c r="O49" i="59"/>
  <c r="O57" i="59" s="1"/>
  <c r="N49" i="60"/>
  <c r="N57" i="60" s="1"/>
  <c r="P49" i="53"/>
  <c r="P57" i="53" s="1"/>
  <c r="Q40" i="53"/>
  <c r="R42" i="51" s="1"/>
  <c r="R48" i="51" s="1"/>
  <c r="Q45" i="58"/>
  <c r="O49" i="58"/>
  <c r="O57" i="58" s="1"/>
  <c r="O49" i="60"/>
  <c r="O57" i="60" s="1"/>
  <c r="Q45" i="55"/>
  <c r="O49" i="55"/>
  <c r="O57" i="55" s="1"/>
  <c r="P40" i="57"/>
  <c r="Q39" i="57"/>
  <c r="H27" i="26" s="1"/>
  <c r="O49" i="57"/>
  <c r="O57" i="57" s="1"/>
  <c r="O49" i="56" l="1"/>
  <c r="O57" i="56" s="1"/>
  <c r="P49" i="56"/>
  <c r="P57" i="56" s="1"/>
  <c r="Q49" i="58"/>
  <c r="Q57" i="58"/>
  <c r="Q57" i="53"/>
  <c r="Q49" i="53"/>
  <c r="Q57" i="55"/>
  <c r="Q49" i="55"/>
  <c r="Q45" i="59"/>
  <c r="P49" i="59"/>
  <c r="P57" i="59" s="1"/>
  <c r="P49" i="60"/>
  <c r="P57" i="60" s="1"/>
  <c r="G25" i="34"/>
  <c r="P49" i="57"/>
  <c r="P57" i="57" s="1"/>
  <c r="Q40" i="57"/>
  <c r="R42" i="45" s="1"/>
  <c r="R48" i="45" s="1"/>
  <c r="C48" i="35"/>
  <c r="I25" i="34" l="1"/>
  <c r="Q45" i="56"/>
  <c r="Q57" i="60"/>
  <c r="Q49" i="56"/>
  <c r="Q57" i="59"/>
  <c r="Q49" i="59"/>
  <c r="Q49" i="60"/>
  <c r="Q45" i="60"/>
  <c r="Q57" i="56"/>
  <c r="Q57" i="57"/>
  <c r="Q49" i="57"/>
  <c r="Z13" i="35" l="1"/>
  <c r="Q33" i="35" l="1"/>
  <c r="P48" i="35" l="1"/>
  <c r="O48" i="35"/>
  <c r="N48" i="35"/>
  <c r="M48" i="35"/>
  <c r="L48" i="35"/>
  <c r="K48" i="35"/>
  <c r="H48" i="35"/>
  <c r="G48" i="35"/>
  <c r="F48" i="35"/>
  <c r="E48" i="35"/>
  <c r="D48" i="35"/>
  <c r="I33" i="35" l="1"/>
  <c r="I23" i="35" l="1"/>
  <c r="J23" i="35" s="1"/>
  <c r="A21" i="35"/>
  <c r="H21" i="26" s="1"/>
  <c r="L1" i="35"/>
  <c r="B7" i="44" l="1"/>
  <c r="G17" i="34"/>
  <c r="H27" i="34" l="1"/>
  <c r="H31" i="34"/>
  <c r="H35" i="34"/>
  <c r="H37" i="34"/>
  <c r="H33" i="34"/>
  <c r="H39" i="34"/>
  <c r="H29" i="34"/>
  <c r="H25" i="34"/>
  <c r="Y36" i="35"/>
  <c r="Z36" i="35" l="1"/>
  <c r="AA36" i="35" s="1"/>
  <c r="AB36" i="35" s="1"/>
  <c r="AC36" i="35" s="1"/>
  <c r="AD36" i="35" l="1"/>
  <c r="AE36" i="35" l="1"/>
  <c r="I63" i="35" l="1"/>
  <c r="I62" i="35"/>
  <c r="I61" i="35"/>
  <c r="I60" i="35"/>
  <c r="M12" i="35" l="1"/>
  <c r="S31" i="35" s="1"/>
  <c r="U2" i="35" l="1"/>
  <c r="S33" i="35" s="1"/>
  <c r="I29" i="35"/>
  <c r="J29" i="35" s="1"/>
  <c r="I27" i="35"/>
  <c r="J27" i="35" s="1"/>
  <c r="I28" i="35"/>
  <c r="J28" i="35" s="1"/>
  <c r="I26" i="35"/>
  <c r="J26" i="35" s="1"/>
  <c r="Q36" i="35"/>
  <c r="J23" i="34" s="1"/>
  <c r="J41" i="34" s="1"/>
  <c r="Q35" i="35"/>
  <c r="Q34" i="35"/>
  <c r="Q32" i="35"/>
  <c r="Q31" i="35"/>
  <c r="Q28" i="35"/>
  <c r="Q25" i="35"/>
  <c r="I30" i="35"/>
  <c r="J30" i="35" s="1"/>
  <c r="Q27" i="35" l="1"/>
  <c r="Q29" i="35"/>
  <c r="I5" i="34"/>
  <c r="C42" i="35" l="1"/>
  <c r="F42" i="35"/>
  <c r="P43" i="35"/>
  <c r="P42" i="35" l="1"/>
  <c r="C43" i="35"/>
  <c r="F43" i="35"/>
  <c r="Y38" i="35" l="1"/>
  <c r="Q22" i="35"/>
  <c r="B5" i="44"/>
  <c r="M77" i="44"/>
  <c r="N43" i="35" l="1"/>
  <c r="L42" i="35"/>
  <c r="G43" i="35"/>
  <c r="K42" i="35"/>
  <c r="O42" i="35"/>
  <c r="M43" i="35"/>
  <c r="H43" i="35"/>
  <c r="H42" i="35"/>
  <c r="D43" i="35"/>
  <c r="D42" i="35"/>
  <c r="E43" i="35"/>
  <c r="E42" i="35"/>
  <c r="Q23" i="35"/>
  <c r="Z38" i="35"/>
  <c r="AA38" i="35" s="1"/>
  <c r="AB38" i="35" s="1"/>
  <c r="AC38" i="35" s="1"/>
  <c r="Y40" i="35"/>
  <c r="Q30" i="35"/>
  <c r="AD10" i="35"/>
  <c r="AD9" i="35"/>
  <c r="AD7" i="35" l="1"/>
  <c r="AD6" i="35"/>
  <c r="AD8" i="35"/>
  <c r="K43" i="35"/>
  <c r="O43" i="35"/>
  <c r="L43" i="35"/>
  <c r="N42" i="35"/>
  <c r="G42" i="35"/>
  <c r="M42" i="35"/>
  <c r="Q37" i="35"/>
  <c r="Z40" i="35"/>
  <c r="Y42" i="35"/>
  <c r="C38" i="35" s="1"/>
  <c r="AD38" i="35"/>
  <c r="AC40" i="35"/>
  <c r="L13" i="44"/>
  <c r="L12" i="44"/>
  <c r="L11" i="44"/>
  <c r="M81" i="44"/>
  <c r="M79" i="44"/>
  <c r="S36" i="35" l="1"/>
  <c r="G26" i="26"/>
  <c r="F26" i="26"/>
  <c r="AE38" i="35"/>
  <c r="AD40" i="35"/>
  <c r="AD42" i="35" s="1"/>
  <c r="Z42" i="35"/>
  <c r="AA40" i="35"/>
  <c r="AE40" i="35" l="1"/>
  <c r="AE42" i="35" s="1"/>
  <c r="AA42" i="35"/>
  <c r="AB40" i="35"/>
  <c r="AB42" i="35" l="1"/>
  <c r="AC42" i="35"/>
  <c r="B45" i="57" l="1"/>
  <c r="B45" i="53"/>
  <c r="B45" i="60"/>
  <c r="B45" i="56"/>
  <c r="W25" i="35"/>
  <c r="B45" i="54"/>
  <c r="B45" i="59"/>
  <c r="B45" i="58"/>
  <c r="B45" i="55"/>
  <c r="B45" i="35" l="1"/>
  <c r="I45" i="35"/>
  <c r="U4" i="55"/>
  <c r="V4" i="55" s="1"/>
  <c r="U4" i="59"/>
  <c r="V4" i="59" s="1"/>
  <c r="U4" i="56"/>
  <c r="V4" i="56" s="1"/>
  <c r="U4" i="60"/>
  <c r="V4" i="60" s="1"/>
  <c r="U4" i="54"/>
  <c r="V4" i="54" s="1"/>
  <c r="U4" i="53"/>
  <c r="V4" i="53" s="1"/>
  <c r="U4" i="58"/>
  <c r="V4" i="58" s="1"/>
  <c r="U4" i="57"/>
  <c r="V4" i="57" s="1"/>
  <c r="D49" i="54"/>
  <c r="D57" i="54" s="1"/>
  <c r="E49" i="54"/>
  <c r="E57" i="54" s="1"/>
  <c r="H49" i="54"/>
  <c r="H57" i="54" s="1"/>
  <c r="M49" i="54"/>
  <c r="M57" i="54" s="1"/>
  <c r="N49" i="54"/>
  <c r="N57" i="54" s="1"/>
  <c r="O49" i="54"/>
  <c r="O57" i="54" s="1"/>
  <c r="P49" i="54"/>
  <c r="P57" i="54" s="1"/>
  <c r="Q52" i="35"/>
  <c r="I52" i="35"/>
  <c r="I49" i="35"/>
  <c r="I48" i="35"/>
  <c r="Q47" i="35"/>
  <c r="I47" i="35"/>
  <c r="Q46" i="35"/>
  <c r="R50" i="44" s="1"/>
  <c r="I39" i="35"/>
  <c r="I38" i="35"/>
  <c r="I37" i="35"/>
  <c r="I36" i="35"/>
  <c r="I35" i="35"/>
  <c r="I34" i="35"/>
  <c r="I32" i="35"/>
  <c r="R23" i="44"/>
  <c r="I31" i="35"/>
  <c r="L49" i="54" l="1"/>
  <c r="L57" i="54" s="1"/>
  <c r="K49" i="54"/>
  <c r="K57" i="54" s="1"/>
  <c r="I45" i="56"/>
  <c r="J45" i="56" s="1"/>
  <c r="I45" i="53"/>
  <c r="J45" i="53" s="1"/>
  <c r="I45" i="55"/>
  <c r="J45" i="55" s="1"/>
  <c r="G49" i="54"/>
  <c r="G57" i="54" s="1"/>
  <c r="F49" i="54"/>
  <c r="F57" i="54" s="1"/>
  <c r="C49" i="54"/>
  <c r="I45" i="60"/>
  <c r="J45" i="60" s="1"/>
  <c r="I45" i="59"/>
  <c r="J45" i="59" s="1"/>
  <c r="I45" i="57"/>
  <c r="J45" i="57" s="1"/>
  <c r="I45" i="54"/>
  <c r="J45" i="54" s="1"/>
  <c r="I45" i="58"/>
  <c r="J45" i="58" s="1"/>
  <c r="J45" i="35"/>
  <c r="Q48" i="35"/>
  <c r="C57" i="54" l="1"/>
  <c r="Q57" i="54" s="1"/>
  <c r="Q49" i="54"/>
  <c r="Q45" i="54"/>
  <c r="C23" i="34"/>
  <c r="A23" i="34"/>
  <c r="C22" i="34"/>
  <c r="I58" i="35" l="1"/>
  <c r="I57" i="35"/>
  <c r="I56" i="35"/>
  <c r="P55" i="35"/>
  <c r="O55" i="35"/>
  <c r="N55" i="35"/>
  <c r="M55" i="35"/>
  <c r="L55" i="35"/>
  <c r="K55" i="35"/>
  <c r="I55" i="35"/>
  <c r="H55" i="35"/>
  <c r="G55" i="35"/>
  <c r="F55" i="35"/>
  <c r="E55" i="35"/>
  <c r="D55" i="35"/>
  <c r="C55" i="35"/>
  <c r="Q54" i="35"/>
  <c r="I46" i="35"/>
  <c r="J46" i="35" s="1"/>
  <c r="I44" i="35"/>
  <c r="I43" i="35"/>
  <c r="I42" i="35"/>
  <c r="AJ34" i="35"/>
  <c r="AI34" i="35"/>
  <c r="AH34" i="35"/>
  <c r="AG34" i="35"/>
  <c r="AF34" i="35"/>
  <c r="AE34" i="35"/>
  <c r="AD34" i="35"/>
  <c r="AC34" i="35"/>
  <c r="AB34" i="35"/>
  <c r="AA34" i="35"/>
  <c r="Z34" i="35"/>
  <c r="Y34" i="35"/>
  <c r="I25" i="35"/>
  <c r="I22" i="35"/>
  <c r="J22" i="35" s="1"/>
  <c r="I21" i="35"/>
  <c r="Y14" i="35"/>
  <c r="Q4" i="35"/>
  <c r="H4" i="35"/>
  <c r="I2" i="35"/>
  <c r="I1" i="35"/>
  <c r="W34" i="35" l="1"/>
  <c r="W29" i="35"/>
  <c r="W37" i="35"/>
  <c r="I40" i="35"/>
  <c r="W32" i="35"/>
  <c r="I41" i="35"/>
  <c r="AF36" i="35"/>
  <c r="AF38" i="35"/>
  <c r="AG38" i="35" s="1"/>
  <c r="AH38" i="35" s="1"/>
  <c r="AI38" i="35" s="1"/>
  <c r="AJ38" i="35" s="1"/>
  <c r="Y15" i="35"/>
  <c r="Q56" i="35"/>
  <c r="Z14" i="35"/>
  <c r="U4" i="35" s="1"/>
  <c r="V4" i="35" l="1"/>
  <c r="AG36" i="35"/>
  <c r="AF40" i="35"/>
  <c r="AF42" i="35" s="1"/>
  <c r="AH36" i="35" l="1"/>
  <c r="AG40" i="35"/>
  <c r="AG42" i="35" s="1"/>
  <c r="Q26" i="35"/>
  <c r="AI36" i="35" l="1"/>
  <c r="AH40" i="35"/>
  <c r="AH42" i="35" s="1"/>
  <c r="N38" i="35" s="1"/>
  <c r="AJ36" i="35" l="1"/>
  <c r="AJ40" i="35" s="1"/>
  <c r="AI40" i="35"/>
  <c r="AI42" i="35" s="1"/>
  <c r="R21" i="44"/>
  <c r="R40" i="44" s="1"/>
  <c r="F23" i="34"/>
  <c r="E23" i="34"/>
  <c r="Q42" i="35"/>
  <c r="Q43" i="35"/>
  <c r="I7" i="44"/>
  <c r="F7" i="44"/>
  <c r="C39" i="35" l="1"/>
  <c r="C45" i="35" s="1"/>
  <c r="AJ42" i="35"/>
  <c r="D38" i="35"/>
  <c r="H38" i="35"/>
  <c r="C41" i="35" l="1"/>
  <c r="C44" i="35"/>
  <c r="C58" i="35" s="1"/>
  <c r="Y43" i="35"/>
  <c r="C40" i="35"/>
  <c r="D39" i="35"/>
  <c r="H39" i="35"/>
  <c r="H45" i="35" s="1"/>
  <c r="E38" i="35"/>
  <c r="D45" i="35" l="1"/>
  <c r="H41" i="35"/>
  <c r="H44" i="35"/>
  <c r="D41" i="35"/>
  <c r="D44" i="35"/>
  <c r="D58" i="35" s="1"/>
  <c r="Z43" i="35"/>
  <c r="AD43" i="35"/>
  <c r="C49" i="35"/>
  <c r="C51" i="35" s="1"/>
  <c r="H40" i="35"/>
  <c r="E39" i="35"/>
  <c r="E45" i="35" s="1"/>
  <c r="D40" i="35"/>
  <c r="K38" i="35"/>
  <c r="G38" i="35"/>
  <c r="F38" i="35"/>
  <c r="L38" i="35"/>
  <c r="E41" i="35" l="1"/>
  <c r="E44" i="35"/>
  <c r="C57" i="35"/>
  <c r="AA43" i="35"/>
  <c r="D49" i="35"/>
  <c r="L39" i="35"/>
  <c r="L45" i="35" s="1"/>
  <c r="F39" i="35"/>
  <c r="F45" i="35" s="1"/>
  <c r="K39" i="35"/>
  <c r="K45" i="35" s="1"/>
  <c r="E40" i="35"/>
  <c r="G39" i="35"/>
  <c r="G45" i="35" s="1"/>
  <c r="M38" i="35"/>
  <c r="K41" i="35" l="1"/>
  <c r="K44" i="35"/>
  <c r="F44" i="35"/>
  <c r="F41" i="35"/>
  <c r="L44" i="35"/>
  <c r="L41" i="35"/>
  <c r="G41" i="35"/>
  <c r="G44" i="35"/>
  <c r="D51" i="35"/>
  <c r="D57" i="35"/>
  <c r="AC43" i="35"/>
  <c r="AE43" i="35"/>
  <c r="AF43" i="35"/>
  <c r="AB43" i="35"/>
  <c r="E49" i="35"/>
  <c r="M39" i="35"/>
  <c r="M45" i="35" s="1"/>
  <c r="G40" i="35"/>
  <c r="K40" i="35"/>
  <c r="F40" i="35"/>
  <c r="L40" i="35"/>
  <c r="M41" i="35" l="1"/>
  <c r="M44" i="35"/>
  <c r="E51" i="35"/>
  <c r="E57" i="35"/>
  <c r="AG43" i="35"/>
  <c r="N39" i="35"/>
  <c r="N45" i="35" s="1"/>
  <c r="M40" i="35"/>
  <c r="O38" i="35"/>
  <c r="N44" i="35" l="1"/>
  <c r="N41" i="35"/>
  <c r="AH43" i="35"/>
  <c r="O39" i="35"/>
  <c r="O45" i="35" s="1"/>
  <c r="N40" i="35"/>
  <c r="P38" i="35"/>
  <c r="O41" i="35" l="1"/>
  <c r="O44" i="35"/>
  <c r="AI43" i="35"/>
  <c r="P39" i="35"/>
  <c r="P45" i="35" s="1"/>
  <c r="O40" i="35"/>
  <c r="J40" i="26"/>
  <c r="Q38" i="35"/>
  <c r="J38" i="26"/>
  <c r="J36" i="26"/>
  <c r="J34" i="26"/>
  <c r="P44" i="35" l="1"/>
  <c r="P41" i="35"/>
  <c r="Q41" i="35" s="1"/>
  <c r="AJ43" i="35"/>
  <c r="P40" i="35"/>
  <c r="Q40" i="35" s="1"/>
  <c r="Q39" i="35"/>
  <c r="J42" i="26"/>
  <c r="H25" i="26" l="1"/>
  <c r="H43" i="26" s="1"/>
  <c r="AK43" i="35"/>
  <c r="H23" i="34" s="1"/>
  <c r="H41" i="34" s="1"/>
  <c r="G23" i="34"/>
  <c r="Q44" i="35"/>
  <c r="R44" i="44" s="1"/>
  <c r="R42" i="44"/>
  <c r="Q58" i="35"/>
  <c r="J32" i="26"/>
  <c r="AA6" i="59" l="1"/>
  <c r="AA6" i="60"/>
  <c r="AA6" i="57"/>
  <c r="AA6" i="54"/>
  <c r="AA6" i="55"/>
  <c r="AA6" i="35"/>
  <c r="S20" i="35" s="1"/>
  <c r="AA6" i="56"/>
  <c r="AA6" i="58"/>
  <c r="AA6" i="53"/>
  <c r="I23" i="34"/>
  <c r="I41" i="34" s="1"/>
  <c r="G41" i="34"/>
  <c r="J26" i="26"/>
  <c r="R48" i="44"/>
  <c r="J30" i="26"/>
  <c r="W21" i="35" l="1"/>
  <c r="W45" i="35" s="1"/>
  <c r="P1" i="35" l="1"/>
  <c r="G1" i="35"/>
  <c r="H6" i="26"/>
  <c r="A18" i="26" l="1"/>
  <c r="J28" i="26"/>
  <c r="H49" i="35" l="1"/>
  <c r="F49" i="35"/>
  <c r="H51" i="35" l="1"/>
  <c r="H57" i="35"/>
  <c r="F51" i="35"/>
  <c r="F57" i="35"/>
  <c r="G49" i="35"/>
  <c r="G51" i="35" l="1"/>
  <c r="G57" i="35"/>
  <c r="K49" i="35"/>
  <c r="K51" i="35" l="1"/>
  <c r="K57" i="35"/>
  <c r="L49" i="35"/>
  <c r="L57" i="35" s="1"/>
  <c r="L51" i="35" l="1"/>
  <c r="N49" i="35" l="1"/>
  <c r="N51" i="35" l="1"/>
  <c r="N57" i="35"/>
  <c r="M49" i="35"/>
  <c r="M57" i="35" s="1"/>
  <c r="M51" i="35" l="1"/>
  <c r="P49" i="35"/>
  <c r="P57" i="35" s="1"/>
  <c r="O49" i="35"/>
  <c r="O57" i="35" s="1"/>
  <c r="P51" i="35" l="1"/>
  <c r="Q49" i="35"/>
  <c r="Q45" i="35"/>
  <c r="O51" i="35"/>
  <c r="Q51" i="35" l="1"/>
  <c r="Q57" i="3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<sst xmlns="http://schemas.openxmlformats.org/spreadsheetml/2006/main" count="2555" uniqueCount="303">
  <si>
    <t>Informations pour l'utilisation du programm de salaires 2024</t>
  </si>
  <si>
    <t>1. Introduction et utilisation</t>
  </si>
  <si>
    <t>Cette fiche de salaire s’adresse aux personnes participant au projet pilote "Modèle bernois". Le programme, disponible au format Excel, sert à calculer les salaires et les cotisations aux assurances sociales du personnel d’assistance.
Le fichier annuel est prévu pour 9 prestataires d’assistance (PA). Une feuille (onglet) doit être remplie par prestataire d’assistance. Les onglets concernant les personnes qui ont quitté leur emploi ne doivent pas être supprimés.</t>
  </si>
  <si>
    <t>Vous trouverez plus d'informations ici :</t>
  </si>
  <si>
    <t>--&gt;</t>
  </si>
  <si>
    <t>https://www.gsi.be.ch/de/start/themen/soziales/behinderung/blg/berner-modell.html</t>
  </si>
  <si>
    <t xml:space="preserve"> Les champs à remplir sont grisés</t>
  </si>
  <si>
    <t xml:space="preserve">Lorsque les informations ne sont pas saisies correctement, sont contradictoires ou incomplètes,
un message d’erreur ou une remarque apparaît. (À droite du décompte de salaire dans les feuilles "AP1" à "AP9")
</t>
  </si>
  <si>
    <t>Veuillez contrôler et corriger les données saisies selon les indications données. En cas de doute, n’hésitez pas à prendre contact avec le Service de coordination.</t>
  </si>
  <si>
    <t>Remarque</t>
  </si>
  <si>
    <t>Message d'erreur</t>
  </si>
  <si>
    <t xml:space="preserve"> En aucun cas procéder au calcul des salaires tant qu’un message d’erreur apparaît.</t>
  </si>
  <si>
    <t>2. Saisir les données de base</t>
  </si>
  <si>
    <t>dans les onglets "AP1" à "AP9":</t>
  </si>
  <si>
    <t>Avant le premier décompte de salaire, les données personnelles et salariales de l'assistant doivent être entièrement enregistrées.</t>
  </si>
  <si>
    <t xml:space="preserve">    1. Données de l'employeur</t>
  </si>
  <si>
    <t>dans l'onglet "AP1" - cellule A1</t>
  </si>
  <si>
    <t xml:space="preserve">    2. Données d'employé</t>
  </si>
  <si>
    <t>"Données personnelles"</t>
  </si>
  <si>
    <t xml:space="preserve">    3. Données du contrat de travail</t>
  </si>
  <si>
    <t>"Données salariales": taux d'occupation, salaire, etc.</t>
  </si>
  <si>
    <t xml:space="preserve">    4. Cotisations de l'employé (assurances sociales)</t>
  </si>
  <si>
    <t>à droite du décompte de salaire</t>
  </si>
  <si>
    <r>
      <rPr>
        <b/>
        <sz val="10"/>
        <color rgb="FFFF0000"/>
        <rFont val="Arial"/>
        <family val="2"/>
      </rPr>
      <t>Attention</t>
    </r>
    <r>
      <rPr>
        <sz val="10"/>
        <rFont val="Arial"/>
        <family val="2"/>
      </rPr>
      <t>: les ajustements ultérieurs des données de base modifieront également les salaires déjà réglés.</t>
    </r>
  </si>
  <si>
    <t>3. Décomptes de salaire</t>
  </si>
  <si>
    <t>Après la saisie des données de base, les décomptes de salaire mensuels peuvent être établis en continu :</t>
  </si>
  <si>
    <t xml:space="preserve">    1. enregistrement des heures d'assistance travaillées (en cas d'emploi horaire).</t>
  </si>
  <si>
    <t>- Déduction automatique des cotisations de l'employé (exemple : AVS, AC, ANP, etc.)</t>
  </si>
  <si>
    <t>- Toute retenue sur le salaire doit être inscrite avec un signe "moins" (exemple : Impôt à la source ordinaire).</t>
  </si>
  <si>
    <t>- les suppléments éventuels doivent être inscrits sans signe "plus" ou "moins" (exemple : allocations familiales)</t>
  </si>
  <si>
    <t xml:space="preserve">    2. le paiement du salaire net à l'assistant</t>
  </si>
  <si>
    <t>selon la ligne "salaire net"</t>
  </si>
  <si>
    <t>4. Déclaration des salaires dans "AssistMe" (Décompte Modèle Bernois)</t>
  </si>
  <si>
    <t xml:space="preserve">Dès que le salaire a été calculé et versé à l'employé, il peut être déclaré dans l'application "AssistMe" (Décompte Modèle Bernois). Les chiffres qui doivent être reportés dans l'application "AssistMe" s’affichent dans la partie inférieure du décompte de salaire: </t>
  </si>
  <si>
    <t>AssistMe</t>
  </si>
  <si>
    <t>5. Cas spéciaux</t>
  </si>
  <si>
    <t>-</t>
  </si>
  <si>
    <t>Les ajustements ultérieurs des données de base modifieront également les salaires déjà réglés.</t>
  </si>
  <si>
    <t>En cas de modification des données personnelles ou salariales, veuillez contacter le Service de coordination du Modèle Bernois</t>
  </si>
  <si>
    <t>Pour les employés étrangers (permis de séjour B, L, F ou N), l’impôt à la source doit être recalculé tous les mois</t>
  </si>
  <si>
    <t>6. Clôture annuelle (fin d’année)</t>
  </si>
  <si>
    <t xml:space="preserve">En tant qu'employeur vous devez faire la clôture annuelle en fin d'année. Envoyez l’attestation de salaire à l’agence AVS et/ou le certificat de salaire à l’intendance des impôts d’ici au 31 janvier au plus tard. </t>
  </si>
  <si>
    <t>7. Helpline / Contact</t>
  </si>
  <si>
    <t>Nous répondons volontiers à toutes vos questions concernant l’utilisation du programme de salaire:</t>
  </si>
  <si>
    <t>031 300 33 70</t>
  </si>
  <si>
    <r>
      <rPr>
        <sz val="10"/>
        <color theme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 xml:space="preserve">info@bernermodell.ch </t>
    </r>
  </si>
  <si>
    <t>Nom/Prénom employeur</t>
  </si>
  <si>
    <t>Informations:</t>
  </si>
  <si>
    <t>par année</t>
  </si>
  <si>
    <t>par jour</t>
  </si>
  <si>
    <t>Lieu employeur</t>
  </si>
  <si>
    <t>Salaire brut annuel selon le taux d'occupation:</t>
  </si>
  <si>
    <t>Abrechnungs-verfahren</t>
  </si>
  <si>
    <t>ouihreslohn gesamt &gt; CHF 58'800</t>
  </si>
  <si>
    <t>Données personnelles concernant le personnel d’assistance</t>
  </si>
  <si>
    <t xml:space="preserve"> Données salariales concernant le personnel d’assistance</t>
  </si>
  <si>
    <t>Montant théoretique déduit du budget:</t>
  </si>
  <si>
    <t>Geschlecht</t>
  </si>
  <si>
    <t>Angaben für VA</t>
  </si>
  <si>
    <t>Angehörigkeit</t>
  </si>
  <si>
    <t>Angehörige</t>
  </si>
  <si>
    <t>Min/Max-Lohn</t>
  </si>
  <si>
    <t>Assistenzbeitrag der IV</t>
  </si>
  <si>
    <t>Nom</t>
  </si>
  <si>
    <t>N° AVS</t>
  </si>
  <si>
    <t>Calcul du salaire brut</t>
  </si>
  <si>
    <t>à choisir</t>
  </si>
  <si>
    <t>ouihreslohnkosten</t>
  </si>
  <si>
    <t>Prénom</t>
  </si>
  <si>
    <t>Date de naissance</t>
  </si>
  <si>
    <t>Assurances sociales</t>
  </si>
  <si>
    <t>Cotisations de l'employé/e</t>
  </si>
  <si>
    <t>masculin</t>
  </si>
  <si>
    <t>simplifiée</t>
  </si>
  <si>
    <t>aucun</t>
  </si>
  <si>
    <t>Bruttolohn</t>
  </si>
  <si>
    <t>oui</t>
  </si>
  <si>
    <t>Rue/n°</t>
  </si>
  <si>
    <t>Activité</t>
  </si>
  <si>
    <t>AVS / AI / APG</t>
  </si>
  <si>
    <t>féminin</t>
  </si>
  <si>
    <t>ordinaire</t>
  </si>
  <si>
    <t>Conjoint-e</t>
  </si>
  <si>
    <t>non</t>
  </si>
  <si>
    <t>NPA/localité</t>
  </si>
  <si>
    <t>Parenté</t>
  </si>
  <si>
    <t>AC</t>
  </si>
  <si>
    <t>Partenariat enrégistré</t>
  </si>
  <si>
    <t>Sexe</t>
  </si>
  <si>
    <t>Lohnart</t>
  </si>
  <si>
    <t>13. ML</t>
  </si>
  <si>
    <t>%-Satz für Berechnung KD</t>
  </si>
  <si>
    <t>Concubin-e</t>
  </si>
  <si>
    <t>Etat civil</t>
  </si>
  <si>
    <t>Le travail est-il effectué sur appel?</t>
  </si>
  <si>
    <t>Accidents non professionnels (ANP)</t>
  </si>
  <si>
    <t>en %</t>
  </si>
  <si>
    <t>Parents</t>
  </si>
  <si>
    <t>Nationalité</t>
  </si>
  <si>
    <t>Contribution d'assistance AI</t>
  </si>
  <si>
    <t>Salaire mensuel</t>
  </si>
  <si>
    <t>Enfant</t>
  </si>
  <si>
    <t>2. Salaire horaire</t>
  </si>
  <si>
    <t>Permis de séjour</t>
  </si>
  <si>
    <t>Procédure de décompte d'AVS</t>
  </si>
  <si>
    <t>Ind. journ. (IJM)</t>
  </si>
  <si>
    <t>Salaire horaire</t>
  </si>
  <si>
    <t>Grands-parents</t>
  </si>
  <si>
    <t>Début du contrat de travail</t>
  </si>
  <si>
    <t>Banque</t>
  </si>
  <si>
    <t>Petit-fils/fille</t>
  </si>
  <si>
    <t>Fin du contrat de travail</t>
  </si>
  <si>
    <t>IBAN</t>
  </si>
  <si>
    <t>LPP  par mois</t>
  </si>
  <si>
    <t>en CHF</t>
  </si>
  <si>
    <t>Frère/soeur</t>
  </si>
  <si>
    <t>Type de salaire</t>
  </si>
  <si>
    <t>Bénéficiaire</t>
  </si>
  <si>
    <t>LPP</t>
  </si>
  <si>
    <t>ou en %</t>
  </si>
  <si>
    <t>Oncle/tante</t>
  </si>
  <si>
    <t>Gendre/belle-fille</t>
  </si>
  <si>
    <t>Signalement des erreurs / remarques</t>
  </si>
  <si>
    <t>voisins</t>
  </si>
  <si>
    <t>Décompte de salaire</t>
  </si>
  <si>
    <t>autres</t>
  </si>
  <si>
    <t>Total</t>
  </si>
  <si>
    <t>Repas &amp; logement</t>
  </si>
  <si>
    <t>CHF</t>
  </si>
  <si>
    <t>Oblig. de verser le salaire (art. 324a CO) (soumis à l'AVS)</t>
  </si>
  <si>
    <t>Oblig. de verser le salaire
(soumis à l'AVS)</t>
  </si>
  <si>
    <t>Allocation maternité / militaire (soumis à l'AVS)</t>
  </si>
  <si>
    <t>Indemnité d'assurance
(non soumis AVS)</t>
  </si>
  <si>
    <t>Freibetr.</t>
  </si>
  <si>
    <t>Allocations familiales</t>
  </si>
  <si>
    <t>Kumm. Freibetrag max.</t>
  </si>
  <si>
    <t>Salaire brut</t>
  </si>
  <si>
    <t>AHV Basis ohne Freibetrag</t>
  </si>
  <si>
    <t>Franchise rentier AVS</t>
  </si>
  <si>
    <t>Kumm. AHV Basis</t>
  </si>
  <si>
    <t>AVS montant brut</t>
  </si>
  <si>
    <t>Restbetrag AHV Freibetrag</t>
  </si>
  <si>
    <t>AHV Freibetrag</t>
  </si>
  <si>
    <t>ALV-Lohn</t>
  </si>
  <si>
    <t>Frais effectifs</t>
  </si>
  <si>
    <t>Salaire net</t>
  </si>
  <si>
    <t>Salaire net payé</t>
  </si>
  <si>
    <t>Différence</t>
  </si>
  <si>
    <t>Remarques</t>
  </si>
  <si>
    <t>Données pour AssistMe:</t>
  </si>
  <si>
    <t>Nombre d'heures</t>
  </si>
  <si>
    <t>h</t>
  </si>
  <si>
    <t>Dont oblig. de verser le salaire (art. 324a CO)</t>
  </si>
  <si>
    <t>Attestation de salaires pour la procédure de décompte simplifiée selon la loi fédérale sur le travail au noir (LTN)</t>
  </si>
  <si>
    <t>Date</t>
  </si>
  <si>
    <r>
      <t xml:space="preserve">La procédure de décompte simplifiée ne peut </t>
    </r>
    <r>
      <rPr>
        <b/>
        <sz val="10"/>
        <color rgb="FFFF0000"/>
        <rFont val="Arial"/>
        <family val="2"/>
      </rPr>
      <t>pas</t>
    </r>
    <r>
      <rPr>
        <sz val="10"/>
        <color rgb="FF000000"/>
        <rFont val="Arial"/>
        <family val="2"/>
      </rPr>
      <t xml:space="preserve"> être  </t>
    </r>
  </si>
  <si>
    <t>Numéro de décompte</t>
  </si>
  <si>
    <t>appliquée dans les cas suivants :</t>
  </si>
  <si>
    <t>Nom et adresse de l'employeur</t>
  </si>
  <si>
    <t>A rappeler dans la réponse !</t>
  </si>
  <si>
    <t xml:space="preserve">- lorsque le salaire annuel brut dépasse CHF 22'050 </t>
  </si>
  <si>
    <t xml:space="preserve">  par personne.</t>
  </si>
  <si>
    <t>à remettre à l'agence AVS</t>
  </si>
  <si>
    <t xml:space="preserve">- lorsque le salaire annuel brut de l'ensemble du </t>
  </si>
  <si>
    <t xml:space="preserve">  personnel dépasse CHF 58'800.</t>
  </si>
  <si>
    <t>Agence AVS</t>
  </si>
  <si>
    <t xml:space="preserve">- lorsque le personnel se compose exclusivement de </t>
  </si>
  <si>
    <t xml:space="preserve">  collaborateurs qui ont dépassé l'âge de la retraite.</t>
  </si>
  <si>
    <t xml:space="preserve">  </t>
  </si>
  <si>
    <t>ATTENTION</t>
  </si>
  <si>
    <t>Dans ces cas il faut alors établir un certificat de salaire ordinaire et procéder à un décompte du salaire en bonne et due forme auprès de l'AVS.</t>
  </si>
  <si>
    <t>LTN</t>
  </si>
  <si>
    <t>Liens:</t>
  </si>
  <si>
    <t>Attestation de salaire AVS ordinaire</t>
  </si>
  <si>
    <t>Période de décompte:</t>
  </si>
  <si>
    <t>Nom, prénom</t>
  </si>
  <si>
    <t>Durée de cotisations</t>
  </si>
  <si>
    <t>Salaire déterminant AVS / AI / APG / AC / CAF / LFA et impôt à la source</t>
  </si>
  <si>
    <t>Adresse</t>
  </si>
  <si>
    <t>Date de naissance / Sexe</t>
  </si>
  <si>
    <t>du</t>
  </si>
  <si>
    <t>au</t>
  </si>
  <si>
    <t>NPA, localité de l'employée</t>
  </si>
  <si>
    <t>Numéro d'assurée</t>
  </si>
  <si>
    <t>(jour/mois)</t>
  </si>
  <si>
    <t xml:space="preserve">, </t>
  </si>
  <si>
    <t>Où avez-vous assuré votre personnel contre les accidents (LAA) ?</t>
  </si>
  <si>
    <r>
      <t xml:space="preserve">La personne soussigné déclare avoir indiqué </t>
    </r>
    <r>
      <rPr>
        <b/>
        <sz val="9"/>
        <rFont val="Arial"/>
        <family val="2"/>
      </rPr>
      <t>toutes</t>
    </r>
    <r>
      <rPr>
        <sz val="9"/>
        <rFont val="Arial"/>
        <family val="2"/>
      </rPr>
      <t xml:space="preserve"> les rémunérations soumises à cotisations (y compris salaires en nature) sur la présente attestation de salaires
</t>
    </r>
    <r>
      <rPr>
        <b/>
        <sz val="9"/>
        <rFont val="Arial"/>
        <family val="2"/>
      </rPr>
      <t>ou</t>
    </r>
    <r>
      <rPr>
        <sz val="9"/>
        <rFont val="Arial"/>
        <family val="2"/>
      </rPr>
      <t xml:space="preserve">
la personne soussigné déclare n'avoir versé </t>
    </r>
    <r>
      <rPr>
        <b/>
        <sz val="9"/>
        <rFont val="Arial"/>
        <family val="2"/>
      </rPr>
      <t>aucune</t>
    </r>
    <r>
      <rPr>
        <sz val="9"/>
        <rFont val="Arial"/>
        <family val="2"/>
      </rPr>
      <t xml:space="preserve"> rémunération soumise à cotisations (y compris salaires en espèces).</t>
    </r>
  </si>
  <si>
    <t xml:space="preserve">      Nous n'avons pas versé de salaire.</t>
  </si>
  <si>
    <t xml:space="preserve">      Nous n'employons plus de personnel et souhaitons être radiés de la</t>
  </si>
  <si>
    <t xml:space="preserve">      procédure de décompte simplifiée selon la LTN pour la fin de l'année.</t>
  </si>
  <si>
    <t>Autres communications de l'employeur :</t>
  </si>
  <si>
    <t>Lieu et date</t>
  </si>
  <si>
    <t>Signature de l'employeur</t>
  </si>
  <si>
    <t>Attestation de salaires et
décompte d'allocations familiales</t>
  </si>
  <si>
    <t>ACHTUNG</t>
  </si>
  <si>
    <t>En cas de procédure de décompte ordinaire, un certificat de salaire doit être établi.</t>
  </si>
  <si>
    <r>
      <t xml:space="preserve">Salaire
déterminant
AVS / AI / APG
</t>
    </r>
    <r>
      <rPr>
        <b/>
        <sz val="7.5"/>
        <rFont val="Arial"/>
        <family val="2"/>
      </rPr>
      <t>(Salaires en
espèces et nature)</t>
    </r>
  </si>
  <si>
    <t>Salaire
déterminant pour
l'assurance-
chômage, maximum
par année</t>
  </si>
  <si>
    <t>Salaire déterminant
pour le régime des
allocations familiales
(CAF/LFA)</t>
  </si>
  <si>
    <t>Droit aux
allocations
familiales selon
justificatif</t>
  </si>
  <si>
    <t>Nom et prénom des salariés</t>
  </si>
  <si>
    <t>Nom de votre assurance accidents LAA :</t>
  </si>
  <si>
    <t>Nom de l'institution de prévoyance LPP :</t>
  </si>
  <si>
    <t>Salaire total prévu pour la nouvelle année: Fr.</t>
  </si>
  <si>
    <t>La personne soussigné déclare avoir indiqué toutes les rémunérations soumises à cotisations (y compris salaires en nature) sur la présente attestation de salaires
ou
la personne soussigné déclare n'avoir versé aucune rémunération soumise à cotisations (y compris salaires en espèces).</t>
  </si>
  <si>
    <t>Allocations familiales prévues pour la nouvelle année: Fr.</t>
  </si>
  <si>
    <t>Autres communications:</t>
  </si>
  <si>
    <t>A</t>
  </si>
  <si>
    <t>X</t>
  </si>
  <si>
    <t>Lohnausweis - Certificat de salaire - Certificato di salario</t>
  </si>
  <si>
    <t>B</t>
  </si>
  <si>
    <t>Rentenbescheinigung - Attestation de rentes - Attestazione delle rendite</t>
  </si>
  <si>
    <t>C</t>
  </si>
  <si>
    <t>F</t>
  </si>
  <si>
    <t>Unentgeltliche Beförderung zwischen Wohn- und Arbeitsort
Transport gratuit entre le domicile et le lieu de travail
Trasporto gratuito dal domicilio al luogo di lavoro</t>
  </si>
  <si>
    <t>AHV-Nr. - No AVS - N.AVS</t>
  </si>
  <si>
    <t>Geburtsdatum – Date de naissance – Data di nascita</t>
  </si>
  <si>
    <t>D</t>
  </si>
  <si>
    <t>E</t>
  </si>
  <si>
    <t>G</t>
  </si>
  <si>
    <t>Kantinenverpflegung/Lunch-Checks
Repas à la cantine/chèques-repas
Pasti alla mensa/buoni pasto</t>
  </si>
  <si>
    <t>Jahr - Anné - Anno</t>
  </si>
  <si>
    <t>von - du - dal</t>
  </si>
  <si>
    <t>bis - au - al</t>
  </si>
  <si>
    <t>H</t>
  </si>
  <si>
    <t>Nur ganze Frankenbeträge
Que des montants entiers
Unicamente importi interi</t>
  </si>
  <si>
    <t>Lohn</t>
  </si>
  <si>
    <t>soweit nicht unter Ziffer 2-7 aufzuführen</t>
  </si>
  <si>
    <t>/Rente</t>
  </si>
  <si>
    <t>Salaire</t>
  </si>
  <si>
    <t>qui ne concerne pas les chiffres 2 à 7 ci-dessous</t>
  </si>
  <si>
    <t>Salario</t>
  </si>
  <si>
    <t>se non da indicare sotto cifre da 2 a 7 più sotto</t>
  </si>
  <si>
    <t>/Rendita</t>
  </si>
  <si>
    <t>Gehaltsnebenleistungen</t>
  </si>
  <si>
    <r>
      <rPr>
        <b/>
        <sz val="8"/>
        <rFont val="Arial Narrow"/>
        <family val="2"/>
      </rPr>
      <t xml:space="preserve">2.1 </t>
    </r>
    <r>
      <rPr>
        <sz val="8"/>
        <rFont val="Arial Narrow"/>
        <family val="2"/>
      </rPr>
      <t>Verpflegung, Unterkunft - Pension, logement - Vitto, alloggio</t>
    </r>
  </si>
  <si>
    <t>+</t>
  </si>
  <si>
    <t>Prestations salariales accessoirs</t>
  </si>
  <si>
    <r>
      <rPr>
        <b/>
        <sz val="8"/>
        <rFont val="Arial Narrow"/>
        <family val="2"/>
      </rPr>
      <t>2.2</t>
    </r>
    <r>
      <rPr>
        <sz val="8"/>
        <rFont val="Arial Narrow"/>
        <family val="2"/>
      </rPr>
      <t xml:space="preserve"> Privatanteil Geschäftswagen - Part privée voiture de service - Quota privata automobile di servizio</t>
    </r>
  </si>
  <si>
    <t>Prestazioni accessorie al salario</t>
  </si>
  <si>
    <r>
      <rPr>
        <b/>
        <sz val="8"/>
        <rFont val="Arial Narrow"/>
        <family val="2"/>
      </rPr>
      <t>2.3</t>
    </r>
    <r>
      <rPr>
        <sz val="8"/>
        <rFont val="Arial Narrow"/>
        <family val="2"/>
      </rPr>
      <t xml:space="preserve"> Andere - Autres - Altre</t>
    </r>
  </si>
  <si>
    <t>Art -Genre - Genere</t>
  </si>
  <si>
    <t>Unregelmässige Leistungen - Prestations non périodiques - Prestazioni aperiodiche</t>
  </si>
  <si>
    <t xml:space="preserve"> Kapitalleistungen - Prestations en capital - Prestazioni in capitale</t>
  </si>
  <si>
    <t>Beteiligungsrechte gemäss Beiblatt - Droits de participation selon annexe - Dritti di partecipazione secondo allegato</t>
  </si>
  <si>
    <t>Verwaltungsratsentschädigungen - Indemnités des membres de l'administration - Indennità dei membri di consigli d'administrazione</t>
  </si>
  <si>
    <t>Andere Leistungen - Autres prestations - Altre prestazioni</t>
  </si>
  <si>
    <t>Bruttolohn total/Rente - Salaire brut total/Rente - Salario lordo totale/Rendita</t>
  </si>
  <si>
    <t>=</t>
  </si>
  <si>
    <t>Beiträge AHV/IV/EO/ALV/NBUV - Cotisations AVS/AI/APG/AC/AANP - Contributi AVS/AI/IPG/AD/AINP</t>
  </si>
  <si>
    <t>Berufliche Vorsorge</t>
  </si>
  <si>
    <t>2.Säule</t>
  </si>
  <si>
    <r>
      <rPr>
        <b/>
        <sz val="8"/>
        <rFont val="Arial Narrow"/>
        <family val="2"/>
      </rPr>
      <t xml:space="preserve">10.1 </t>
    </r>
    <r>
      <rPr>
        <sz val="8"/>
        <rFont val="Arial Narrow"/>
        <family val="2"/>
      </rPr>
      <t>Ordentliche Beiträge - Cotisations ordinaire - Contributi ordinari</t>
    </r>
  </si>
  <si>
    <t>Prévoyance professionnelle</t>
  </si>
  <si>
    <r>
      <t>2</t>
    </r>
    <r>
      <rPr>
        <vertAlign val="superscript"/>
        <sz val="8"/>
        <rFont val="Arial Narrow"/>
        <family val="2"/>
      </rPr>
      <t xml:space="preserve">e </t>
    </r>
    <r>
      <rPr>
        <sz val="8"/>
        <rFont val="Arial Narrow"/>
        <family val="2"/>
      </rPr>
      <t>pilier</t>
    </r>
  </si>
  <si>
    <t>Previdenza professionale</t>
  </si>
  <si>
    <r>
      <t>2</t>
    </r>
    <r>
      <rPr>
        <vertAlign val="superscript"/>
        <sz val="8"/>
        <rFont val="Arial Narrow"/>
        <family val="2"/>
      </rPr>
      <t>o</t>
    </r>
    <r>
      <rPr>
        <sz val="8"/>
        <rFont val="Arial Narrow"/>
        <family val="2"/>
      </rPr>
      <t xml:space="preserve"> pilastro</t>
    </r>
  </si>
  <si>
    <r>
      <rPr>
        <b/>
        <sz val="8"/>
        <rFont val="Arial Narrow"/>
        <family val="2"/>
      </rPr>
      <t>10.2</t>
    </r>
    <r>
      <rPr>
        <sz val="8"/>
        <rFont val="Arial Narrow"/>
        <family val="2"/>
      </rPr>
      <t xml:space="preserve"> Beiträge für den Einkauf - Cotisations pour le rachat - Contributi per il riscatto</t>
    </r>
  </si>
  <si>
    <t>Nettolohn/Rente - Salaire net/Rente - Salario netto/Rendita</t>
  </si>
  <si>
    <t>In die Steuererklärung übertragen - A reporter sur la déclaration d'impôt - Da riportare nella dichiarazione d'imposta</t>
  </si>
  <si>
    <t xml:space="preserve"> Quellensteuerabzug - Retenue de l'impôt à la source - Ritenuta d'imposta alla fonte</t>
  </si>
  <si>
    <t xml:space="preserve"> Spesenvergütungen - Allocations pour frais - Indennità per spese</t>
  </si>
  <si>
    <t>Nicht im Bruttolohn (gemäss Ziffer 8) enthalten - Non comprises dans le salaire brut (au chiffre 8) - Non comprese nel salario lordo (sotto cifra 8)</t>
  </si>
  <si>
    <t>Effektive Spesen
Frais effectifs
Spese effettive</t>
  </si>
  <si>
    <t>13.1.1</t>
  </si>
  <si>
    <t>Reise, Verpflegung, Übernachtung - Voyage, repas, nuitées - Viaggio, vitto, alloggio</t>
  </si>
  <si>
    <t>13.1.2</t>
  </si>
  <si>
    <t>Übrige - Autres - Altre</t>
  </si>
  <si>
    <t>Pauschalspesen</t>
  </si>
  <si>
    <t>13.2.1</t>
  </si>
  <si>
    <t>Repräsentation - Représentation - Rappresentanza</t>
  </si>
  <si>
    <t>Frais forfaitaires</t>
  </si>
  <si>
    <t>13.2.2</t>
  </si>
  <si>
    <t>Auto - Voiture - Automobile</t>
  </si>
  <si>
    <t>Spese forfettarie</t>
  </si>
  <si>
    <t>13.2.3</t>
  </si>
  <si>
    <t>Beiträge an die Weiterbildung - Contributions au perfectionnement - Contributi per il perfezionamento</t>
  </si>
  <si>
    <t>Weitere Gehaltsnebenleistungen</t>
  </si>
  <si>
    <t>Art</t>
  </si>
  <si>
    <t>Autres prestations salariales accessoires</t>
  </si>
  <si>
    <t>Genre</t>
  </si>
  <si>
    <t>Altre prestazioni accessorie al salario</t>
  </si>
  <si>
    <t>Genere</t>
  </si>
  <si>
    <t>Bemerkungen</t>
  </si>
  <si>
    <t>Observations</t>
  </si>
  <si>
    <t>Osservazioni</t>
  </si>
  <si>
    <t>I</t>
  </si>
  <si>
    <t xml:space="preserve"> Ort und Datum - Lieu et date - Luogo e data</t>
  </si>
  <si>
    <t>Die Richtigkeit und Vollständigkeit bestätigt</t>
  </si>
  <si>
    <t>inkl. genauer Anschrift und Telefonnummer des Arbeitgebers</t>
  </si>
  <si>
    <t>Certifié exact et complet</t>
  </si>
  <si>
    <t>y.c. adresse et numéro de téléphone exacts de l'employeur</t>
  </si>
  <si>
    <t>Certificato esatto e completo</t>
  </si>
  <si>
    <t>compresi indirizzo e numero di telefono esatti del datore di lavoro</t>
  </si>
  <si>
    <t>Entrez le numéro de téléphone ici</t>
  </si>
  <si>
    <t>2.1 Verpflegung, Unterkunft - Pension, logement - Vitto, alloggio</t>
  </si>
  <si>
    <t>2.2 Privatanteil Geschäftswagen - Part privée voiture de service - Quota privata automobile di servizio</t>
  </si>
  <si>
    <t>2.3 Andere - Autres - Altre</t>
  </si>
  <si>
    <t>10.1 Ordentliche Beiträge - Cotisations ordinaire - Contributi ordinari</t>
  </si>
  <si>
    <t>2e pilier</t>
  </si>
  <si>
    <t>2o pilastro</t>
  </si>
  <si>
    <t>10.2 Beiträge für den Einkauf - Cotisations pour le rachat - Contributi per il riscatto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</si>
</sst>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.000%"/>
    <numFmt numFmtId="165" formatCode="0.0%"/>
    <numFmt numFmtId="166" formatCode="mmmm"/>
    <numFmt numFmtId="167" formatCode="dd/mm/"/>
    <numFmt numFmtId="168" formatCode="&quot;Rekapitulation&quot;\ yyyy"/>
    <numFmt numFmtId="169" formatCode="yyyy"/>
    <numFmt numFmtId="170" formatCode="&quot;CHF&quot;\ 0.00"/>
    <numFmt numFmtId="171" formatCode="0.00\ &quot;h&quot;"/>
    <numFmt numFmtId="172" formatCode="&quot;Lohnblatt&quot;\ yyyy"/>
    <numFmt numFmtId="173" formatCode="0.000000000"/>
    <numFmt numFmtId="174" formatCode="#,##0.0000;[Red]\-#,##0.0000"/>
    <numFmt numFmtId="175" formatCode="#,##0.00_ ;[Red]\-#,##0.00\ "/>
    <numFmt numFmtId="176" formatCode="0.0"/>
    <numFmt numFmtId="177" formatCode="0.0000"/>
    <numFmt numFmtId="178" formatCode="0.00\ &quot;h/Wo&quot;"/>
    <numFmt numFmtId="179" formatCode="&quot;CHF&quot;\ * #,##0.00;[Red]\-#,##0.00"/>
    <numFmt numFmtId="180" formatCode="&quot;Programme de salaire&quot;\ yyyy"/>
    <numFmt numFmtId="181" formatCode="&quot;Période de décompte &quot;yyyy"/>
    <numFmt numFmtId="182" formatCode="0.00\ &quot;h/sem.&quot;"/>
  </numFmts>
  <fonts count="36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10"/>
      <color theme="10"/>
      <name val="MS Sans Serif"/>
    </font>
    <font>
      <b/>
      <sz val="18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i/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16"/>
      <name val="Arial"/>
      <family val="2"/>
    </font>
    <font>
      <b/>
      <sz val="9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u/>
      <sz val="9"/>
      <name val="Arial"/>
      <family val="2"/>
    </font>
    <font>
      <b/>
      <u/>
      <sz val="14"/>
      <color rgb="FFFF000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b/>
      <sz val="11"/>
      <name val="Arial Black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Fill="0" applyBorder="0" applyAlignment="0" applyProtection="0">
      <alignment horizontal="left"/>
    </xf>
  </cellStyleXfs>
  <cellXfs count="55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1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40" fontId="4" fillId="0" borderId="0" xfId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4" fontId="4" fillId="0" borderId="13" xfId="1" applyNumberFormat="1" applyFont="1" applyBorder="1" applyAlignment="1">
      <alignment horizontal="left"/>
    </xf>
    <xf numFmtId="167" fontId="4" fillId="0" borderId="4" xfId="1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39" fontId="6" fillId="0" borderId="17" xfId="0" applyNumberFormat="1" applyFont="1" applyBorder="1" applyAlignment="1">
      <alignment horizontal="right" vertical="center"/>
    </xf>
    <xf numFmtId="39" fontId="6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168" fontId="7" fillId="0" borderId="0" xfId="0" applyNumberFormat="1" applyFont="1"/>
    <xf numFmtId="0" fontId="2" fillId="0" borderId="17" xfId="0" applyFont="1" applyBorder="1"/>
    <xf numFmtId="0" fontId="4" fillId="0" borderId="18" xfId="0" applyFont="1" applyBorder="1"/>
    <xf numFmtId="0" fontId="4" fillId="0" borderId="17" xfId="0" applyFont="1" applyBorder="1"/>
    <xf numFmtId="0" fontId="4" fillId="0" borderId="11" xfId="0" quotePrefix="1" applyFont="1" applyBorder="1"/>
    <xf numFmtId="0" fontId="4" fillId="0" borderId="20" xfId="0" quotePrefix="1" applyFont="1" applyBorder="1"/>
    <xf numFmtId="0" fontId="4" fillId="0" borderId="1" xfId="0" applyFont="1" applyBorder="1"/>
    <xf numFmtId="0" fontId="6" fillId="0" borderId="11" xfId="0" applyFont="1" applyBorder="1"/>
    <xf numFmtId="0" fontId="4" fillId="0" borderId="0" xfId="0" applyFont="1" applyAlignment="1">
      <alignment wrapText="1"/>
    </xf>
    <xf numFmtId="168" fontId="9" fillId="0" borderId="0" xfId="0" applyNumberFormat="1" applyFont="1"/>
    <xf numFmtId="0" fontId="4" fillId="0" borderId="1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40" fontId="4" fillId="0" borderId="9" xfId="1" applyFont="1" applyBorder="1" applyAlignment="1">
      <alignment horizontal="left"/>
    </xf>
    <xf numFmtId="0" fontId="7" fillId="3" borderId="0" xfId="0" applyFont="1" applyFill="1"/>
    <xf numFmtId="0" fontId="2" fillId="3" borderId="0" xfId="0" applyFont="1" applyFill="1"/>
    <xf numFmtId="0" fontId="12" fillId="4" borderId="25" xfId="0" applyFont="1" applyFill="1" applyBorder="1"/>
    <xf numFmtId="0" fontId="12" fillId="4" borderId="26" xfId="0" applyFont="1" applyFill="1" applyBorder="1"/>
    <xf numFmtId="0" fontId="2" fillId="4" borderId="26" xfId="0" quotePrefix="1" applyFont="1" applyFill="1" applyBorder="1"/>
    <xf numFmtId="0" fontId="12" fillId="4" borderId="26" xfId="0" quotePrefix="1" applyFont="1" applyFill="1" applyBorder="1"/>
    <xf numFmtId="0" fontId="13" fillId="4" borderId="26" xfId="0" applyFont="1" applyFill="1" applyBorder="1"/>
    <xf numFmtId="10" fontId="4" fillId="0" borderId="0" xfId="2" applyNumberFormat="1" applyFont="1" applyFill="1"/>
    <xf numFmtId="40" fontId="6" fillId="0" borderId="0" xfId="1" applyFont="1" applyFill="1"/>
    <xf numFmtId="0" fontId="4" fillId="0" borderId="1" xfId="0" applyFont="1" applyBorder="1" applyAlignment="1">
      <alignment horizontal="right"/>
    </xf>
    <xf numFmtId="172" fontId="7" fillId="3" borderId="0" xfId="0" applyNumberFormat="1" applyFont="1" applyFill="1" applyAlignment="1">
      <alignment horizontal="right"/>
    </xf>
    <xf numFmtId="0" fontId="4" fillId="3" borderId="0" xfId="0" applyFont="1" applyFill="1"/>
    <xf numFmtId="0" fontId="4" fillId="0" borderId="41" xfId="0" applyFont="1" applyBorder="1"/>
    <xf numFmtId="39" fontId="4" fillId="0" borderId="41" xfId="0" applyNumberFormat="1" applyFont="1" applyBorder="1" applyAlignment="1">
      <alignment horizontal="right"/>
    </xf>
    <xf numFmtId="165" fontId="4" fillId="0" borderId="41" xfId="0" applyNumberFormat="1" applyFont="1" applyBorder="1" applyAlignment="1">
      <alignment horizontal="right"/>
    </xf>
    <xf numFmtId="4" fontId="4" fillId="0" borderId="41" xfId="0" applyNumberFormat="1" applyFont="1" applyBorder="1" applyAlignment="1">
      <alignment horizontal="right"/>
    </xf>
    <xf numFmtId="39" fontId="4" fillId="0" borderId="0" xfId="0" applyNumberFormat="1" applyFont="1" applyAlignment="1">
      <alignment horizontal="right"/>
    </xf>
    <xf numFmtId="40" fontId="4" fillId="0" borderId="0" xfId="1" applyFont="1" applyFill="1" applyProtection="1"/>
    <xf numFmtId="40" fontId="4" fillId="0" borderId="0" xfId="1" applyFont="1" applyProtection="1"/>
    <xf numFmtId="39" fontId="6" fillId="3" borderId="6" xfId="0" applyNumberFormat="1" applyFont="1" applyFill="1" applyBorder="1" applyAlignment="1">
      <alignment horizontal="right"/>
    </xf>
    <xf numFmtId="39" fontId="6" fillId="3" borderId="31" xfId="0" applyNumberFormat="1" applyFont="1" applyFill="1" applyBorder="1" applyAlignment="1">
      <alignment horizontal="right"/>
    </xf>
    <xf numFmtId="39" fontId="6" fillId="0" borderId="0" xfId="0" applyNumberFormat="1" applyFont="1" applyAlignment="1">
      <alignment horizontal="right"/>
    </xf>
    <xf numFmtId="40" fontId="6" fillId="0" borderId="0" xfId="1" applyFont="1" applyFill="1" applyProtection="1"/>
    <xf numFmtId="40" fontId="6" fillId="0" borderId="0" xfId="1" applyFont="1" applyProtection="1"/>
    <xf numFmtId="40" fontId="4" fillId="0" borderId="0" xfId="1" applyFont="1" applyFill="1" applyBorder="1" applyAlignment="1" applyProtection="1">
      <alignment horizontal="right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0" fontId="2" fillId="0" borderId="0" xfId="1" applyFont="1" applyProtection="1"/>
    <xf numFmtId="166" fontId="6" fillId="0" borderId="30" xfId="0" applyNumberFormat="1" applyFont="1" applyBorder="1" applyAlignment="1">
      <alignment horizontal="center"/>
    </xf>
    <xf numFmtId="39" fontId="6" fillId="0" borderId="31" xfId="0" applyNumberFormat="1" applyFont="1" applyBorder="1" applyAlignment="1">
      <alignment horizontal="right"/>
    </xf>
    <xf numFmtId="0" fontId="15" fillId="0" borderId="43" xfId="0" applyFont="1" applyBorder="1" applyAlignment="1">
      <alignment horizontal="left"/>
    </xf>
    <xf numFmtId="39" fontId="6" fillId="0" borderId="46" xfId="0" applyNumberFormat="1" applyFont="1" applyBorder="1" applyAlignment="1">
      <alignment horizontal="right"/>
    </xf>
    <xf numFmtId="39" fontId="6" fillId="0" borderId="47" xfId="0" applyNumberFormat="1" applyFont="1" applyBorder="1" applyAlignment="1">
      <alignment horizontal="right"/>
    </xf>
    <xf numFmtId="40" fontId="4" fillId="0" borderId="41" xfId="1" applyFont="1" applyFill="1" applyBorder="1" applyAlignment="1" applyProtection="1">
      <alignment horizontal="right"/>
    </xf>
    <xf numFmtId="9" fontId="4" fillId="0" borderId="0" xfId="2" applyFont="1" applyAlignment="1" applyProtection="1">
      <alignment horizontal="left"/>
    </xf>
    <xf numFmtId="166" fontId="6" fillId="0" borderId="0" xfId="0" applyNumberFormat="1" applyFont="1" applyAlignment="1">
      <alignment horizontal="center"/>
    </xf>
    <xf numFmtId="166" fontId="6" fillId="0" borderId="0" xfId="1" applyNumberFormat="1" applyFont="1" applyFill="1" applyAlignment="1" applyProtection="1">
      <alignment horizontal="center"/>
    </xf>
    <xf numFmtId="40" fontId="4" fillId="0" borderId="0" xfId="1" quotePrefix="1" applyFont="1" applyFill="1" applyBorder="1" applyAlignment="1" applyProtection="1">
      <alignment horizontal="right"/>
    </xf>
    <xf numFmtId="40" fontId="6" fillId="0" borderId="0" xfId="1" applyFont="1" applyFill="1" applyBorder="1" applyAlignment="1" applyProtection="1">
      <alignment horizontal="right"/>
    </xf>
    <xf numFmtId="171" fontId="4" fillId="0" borderId="0" xfId="0" applyNumberFormat="1" applyFont="1"/>
    <xf numFmtId="170" fontId="4" fillId="0" borderId="0" xfId="0" applyNumberFormat="1" applyFont="1"/>
    <xf numFmtId="166" fontId="6" fillId="0" borderId="29" xfId="0" applyNumberFormat="1" applyFont="1" applyBorder="1" applyAlignment="1">
      <alignment horizontal="center"/>
    </xf>
    <xf numFmtId="39" fontId="6" fillId="0" borderId="40" xfId="0" applyNumberFormat="1" applyFont="1" applyBorder="1" applyAlignment="1">
      <alignment horizontal="right"/>
    </xf>
    <xf numFmtId="39" fontId="6" fillId="3" borderId="48" xfId="0" applyNumberFormat="1" applyFont="1" applyFill="1" applyBorder="1" applyAlignment="1">
      <alignment horizontal="right"/>
    </xf>
    <xf numFmtId="166" fontId="6" fillId="3" borderId="29" xfId="1" applyNumberFormat="1" applyFont="1" applyFill="1" applyBorder="1" applyAlignment="1" applyProtection="1">
      <alignment horizontal="center"/>
    </xf>
    <xf numFmtId="166" fontId="6" fillId="3" borderId="29" xfId="0" applyNumberFormat="1" applyFont="1" applyFill="1" applyBorder="1" applyAlignment="1">
      <alignment horizontal="center"/>
    </xf>
    <xf numFmtId="166" fontId="6" fillId="3" borderId="30" xfId="0" applyNumberFormat="1" applyFont="1" applyFill="1" applyBorder="1" applyAlignment="1">
      <alignment horizontal="center"/>
    </xf>
    <xf numFmtId="166" fontId="6" fillId="3" borderId="38" xfId="1" applyNumberFormat="1" applyFont="1" applyFill="1" applyBorder="1" applyAlignment="1" applyProtection="1">
      <alignment horizontal="center"/>
    </xf>
    <xf numFmtId="0" fontId="11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39" fontId="4" fillId="0" borderId="50" xfId="0" applyNumberFormat="1" applyFont="1" applyBorder="1" applyAlignment="1">
      <alignment horizontal="right"/>
    </xf>
    <xf numFmtId="39" fontId="4" fillId="0" borderId="49" xfId="0" applyNumberFormat="1" applyFont="1" applyBorder="1" applyAlignment="1">
      <alignment horizontal="right"/>
    </xf>
    <xf numFmtId="167" fontId="4" fillId="0" borderId="51" xfId="1" applyNumberFormat="1" applyFont="1" applyBorder="1" applyAlignment="1">
      <alignment horizontal="center"/>
    </xf>
    <xf numFmtId="39" fontId="6" fillId="0" borderId="52" xfId="0" applyNumberFormat="1" applyFont="1" applyBorder="1" applyAlignment="1">
      <alignment horizontal="right" vertical="center"/>
    </xf>
    <xf numFmtId="166" fontId="6" fillId="0" borderId="54" xfId="0" applyNumberFormat="1" applyFont="1" applyBorder="1" applyAlignment="1">
      <alignment horizontal="center"/>
    </xf>
    <xf numFmtId="40" fontId="4" fillId="0" borderId="0" xfId="1" applyFont="1" applyAlignment="1" applyProtection="1">
      <alignment horizontal="right"/>
    </xf>
    <xf numFmtId="40" fontId="4" fillId="0" borderId="0" xfId="1" applyFont="1" applyFill="1" applyAlignment="1" applyProtection="1">
      <alignment horizontal="right"/>
    </xf>
    <xf numFmtId="166" fontId="4" fillId="0" borderId="0" xfId="1" applyNumberFormat="1" applyFont="1" applyFill="1" applyAlignment="1" applyProtection="1">
      <alignment horizontal="left"/>
    </xf>
    <xf numFmtId="2" fontId="2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right"/>
    </xf>
    <xf numFmtId="40" fontId="6" fillId="0" borderId="0" xfId="1" applyFont="1"/>
    <xf numFmtId="2" fontId="2" fillId="0" borderId="0" xfId="0" applyNumberFormat="1" applyFont="1" applyAlignment="1">
      <alignment vertical="top" wrapText="1"/>
    </xf>
    <xf numFmtId="38" fontId="4" fillId="0" borderId="0" xfId="1" applyNumberFormat="1" applyFont="1" applyFill="1"/>
    <xf numFmtId="38" fontId="4" fillId="0" borderId="0" xfId="1" applyNumberFormat="1" applyFont="1" applyFill="1" applyAlignment="1">
      <alignment vertical="top"/>
    </xf>
    <xf numFmtId="38" fontId="4" fillId="0" borderId="0" xfId="1" applyNumberFormat="1" applyFont="1"/>
    <xf numFmtId="38" fontId="4" fillId="0" borderId="0" xfId="1" applyNumberFormat="1" applyFont="1" applyProtection="1"/>
    <xf numFmtId="166" fontId="6" fillId="0" borderId="0" xfId="0" applyNumberFormat="1" applyFont="1"/>
    <xf numFmtId="169" fontId="6" fillId="0" borderId="0" xfId="0" applyNumberFormat="1" applyFont="1" applyAlignment="1">
      <alignment horizontal="left"/>
    </xf>
    <xf numFmtId="0" fontId="20" fillId="0" borderId="1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39" fontId="4" fillId="0" borderId="13" xfId="0" applyNumberFormat="1" applyFont="1" applyBorder="1" applyAlignment="1">
      <alignment horizontal="right"/>
    </xf>
    <xf numFmtId="39" fontId="4" fillId="0" borderId="4" xfId="0" applyNumberFormat="1" applyFont="1" applyBorder="1" applyAlignment="1">
      <alignment horizontal="right"/>
    </xf>
    <xf numFmtId="39" fontId="4" fillId="0" borderId="51" xfId="0" applyNumberFormat="1" applyFont="1" applyBorder="1" applyAlignment="1">
      <alignment horizontal="right"/>
    </xf>
    <xf numFmtId="39" fontId="4" fillId="0" borderId="21" xfId="0" applyNumberFormat="1" applyFont="1" applyBorder="1" applyAlignment="1">
      <alignment horizontal="right"/>
    </xf>
    <xf numFmtId="39" fontId="4" fillId="0" borderId="15" xfId="0" applyNumberFormat="1" applyFont="1" applyBorder="1" applyAlignment="1">
      <alignment horizontal="right"/>
    </xf>
    <xf numFmtId="39" fontId="4" fillId="0" borderId="5" xfId="0" applyNumberFormat="1" applyFont="1" applyBorder="1" applyAlignment="1">
      <alignment horizontal="right"/>
    </xf>
    <xf numFmtId="39" fontId="4" fillId="0" borderId="56" xfId="0" applyNumberFormat="1" applyFont="1" applyBorder="1" applyAlignment="1">
      <alignment horizontal="right"/>
    </xf>
    <xf numFmtId="0" fontId="20" fillId="0" borderId="3" xfId="0" applyFont="1" applyBorder="1" applyAlignment="1">
      <alignment horizontal="left" vertical="center"/>
    </xf>
    <xf numFmtId="14" fontId="4" fillId="0" borderId="3" xfId="1" applyNumberFormat="1" applyFont="1" applyBorder="1" applyAlignment="1">
      <alignment horizontal="left"/>
    </xf>
    <xf numFmtId="0" fontId="20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57" xfId="0" applyFont="1" applyBorder="1" applyAlignment="1">
      <alignment horizontal="left" vertical="center"/>
    </xf>
    <xf numFmtId="40" fontId="4" fillId="0" borderId="51" xfId="1" applyFont="1" applyBorder="1" applyAlignment="1">
      <alignment horizontal="left"/>
    </xf>
    <xf numFmtId="40" fontId="4" fillId="0" borderId="1" xfId="1" applyFont="1" applyBorder="1" applyAlignment="1">
      <alignment horizontal="left"/>
    </xf>
    <xf numFmtId="0" fontId="20" fillId="0" borderId="12" xfId="0" applyFont="1" applyBorder="1" applyAlignment="1">
      <alignment horizontal="center" vertical="center"/>
    </xf>
    <xf numFmtId="167" fontId="4" fillId="0" borderId="13" xfId="1" applyNumberFormat="1" applyFont="1" applyBorder="1" applyAlignment="1">
      <alignment horizontal="center"/>
    </xf>
    <xf numFmtId="167" fontId="4" fillId="0" borderId="15" xfId="1" applyNumberFormat="1" applyFont="1" applyBorder="1" applyAlignment="1">
      <alignment horizontal="center"/>
    </xf>
    <xf numFmtId="40" fontId="4" fillId="0" borderId="1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9" fontId="6" fillId="0" borderId="59" xfId="0" applyNumberFormat="1" applyFont="1" applyBorder="1" applyAlignment="1">
      <alignment horizontal="right" vertical="center"/>
    </xf>
    <xf numFmtId="0" fontId="4" fillId="0" borderId="0" xfId="0" quotePrefix="1" applyFont="1"/>
    <xf numFmtId="0" fontId="22" fillId="0" borderId="11" xfId="0" applyFont="1" applyBorder="1"/>
    <xf numFmtId="0" fontId="20" fillId="0" borderId="18" xfId="0" applyFont="1" applyBorder="1"/>
    <xf numFmtId="0" fontId="20" fillId="0" borderId="11" xfId="0" applyFont="1" applyBorder="1"/>
    <xf numFmtId="0" fontId="2" fillId="0" borderId="19" xfId="0" applyFont="1" applyBorder="1"/>
    <xf numFmtId="0" fontId="20" fillId="0" borderId="20" xfId="0" applyFont="1" applyBorder="1"/>
    <xf numFmtId="168" fontId="7" fillId="5" borderId="0" xfId="0" applyNumberFormat="1" applyFont="1" applyFill="1"/>
    <xf numFmtId="0" fontId="7" fillId="5" borderId="0" xfId="0" applyFont="1" applyFill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39" fontId="6" fillId="0" borderId="19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left"/>
    </xf>
    <xf numFmtId="39" fontId="4" fillId="0" borderId="61" xfId="0" applyNumberFormat="1" applyFont="1" applyBorder="1" applyAlignment="1">
      <alignment horizontal="right"/>
    </xf>
    <xf numFmtId="40" fontId="4" fillId="0" borderId="0" xfId="0" applyNumberFormat="1" applyFont="1"/>
    <xf numFmtId="173" fontId="2" fillId="0" borderId="0" xfId="0" applyNumberFormat="1" applyFont="1"/>
    <xf numFmtId="10" fontId="4" fillId="0" borderId="0" xfId="2" applyNumberFormat="1" applyFont="1"/>
    <xf numFmtId="10" fontId="4" fillId="0" borderId="0" xfId="2" applyNumberFormat="1" applyFont="1" applyProtection="1"/>
    <xf numFmtId="0" fontId="2" fillId="5" borderId="0" xfId="0" applyFont="1" applyFill="1"/>
    <xf numFmtId="0" fontId="2" fillId="0" borderId="16" xfId="0" applyFont="1" applyBorder="1"/>
    <xf numFmtId="0" fontId="3" fillId="0" borderId="0" xfId="0" applyFont="1"/>
    <xf numFmtId="167" fontId="4" fillId="0" borderId="4" xfId="0" applyNumberFormat="1" applyFont="1" applyBorder="1" applyAlignment="1">
      <alignment horizontal="center"/>
    </xf>
    <xf numFmtId="40" fontId="4" fillId="0" borderId="4" xfId="1" applyFont="1" applyBorder="1" applyAlignment="1">
      <alignment horizontal="right"/>
    </xf>
    <xf numFmtId="0" fontId="13" fillId="4" borderId="25" xfId="0" applyFont="1" applyFill="1" applyBorder="1"/>
    <xf numFmtId="0" fontId="14" fillId="4" borderId="26" xfId="3" applyFont="1" applyFill="1" applyBorder="1"/>
    <xf numFmtId="0" fontId="13" fillId="0" borderId="0" xfId="0" applyFont="1"/>
    <xf numFmtId="40" fontId="4" fillId="0" borderId="0" xfId="1" applyFont="1" applyFill="1"/>
    <xf numFmtId="0" fontId="2" fillId="4" borderId="26" xfId="0" quotePrefix="1" applyFont="1" applyFill="1" applyBorder="1" applyAlignment="1">
      <alignment horizontal="left" wrapText="1"/>
    </xf>
    <xf numFmtId="40" fontId="19" fillId="0" borderId="0" xfId="1" applyFont="1" applyFill="1" applyBorder="1" applyAlignment="1" applyProtection="1">
      <alignment horizontal="left"/>
    </xf>
    <xf numFmtId="0" fontId="4" fillId="0" borderId="7" xfId="0" applyFon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21" xfId="0" applyFont="1" applyBorder="1"/>
    <xf numFmtId="0" fontId="6" fillId="0" borderId="62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167" fontId="4" fillId="0" borderId="57" xfId="1" applyNumberFormat="1" applyFont="1" applyBorder="1" applyAlignment="1">
      <alignment horizontal="center"/>
    </xf>
    <xf numFmtId="40" fontId="4" fillId="0" borderId="62" xfId="1" applyFont="1" applyBorder="1" applyAlignment="1">
      <alignment horizontal="left"/>
    </xf>
    <xf numFmtId="0" fontId="14" fillId="4" borderId="27" xfId="3" applyFont="1" applyFill="1" applyBorder="1" applyProtection="1"/>
    <xf numFmtId="0" fontId="2" fillId="0" borderId="11" xfId="0" applyFont="1" applyBorder="1"/>
    <xf numFmtId="0" fontId="2" fillId="0" borderId="11" xfId="0" applyFont="1" applyBorder="1" applyAlignment="1">
      <alignment vertical="top" wrapText="1"/>
    </xf>
    <xf numFmtId="174" fontId="4" fillId="0" borderId="0" xfId="1" applyNumberFormat="1" applyFont="1" applyProtection="1"/>
    <xf numFmtId="40" fontId="2" fillId="0" borderId="0" xfId="0" applyNumberFormat="1" applyFont="1"/>
    <xf numFmtId="175" fontId="2" fillId="0" borderId="0" xfId="0" applyNumberFormat="1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5" fillId="0" borderId="0" xfId="0" quotePrefix="1" applyFont="1"/>
    <xf numFmtId="0" fontId="24" fillId="0" borderId="0" xfId="0" quotePrefix="1" applyFont="1"/>
    <xf numFmtId="0" fontId="27" fillId="0" borderId="0" xfId="0" applyFont="1" applyAlignment="1">
      <alignment vertical="top"/>
    </xf>
    <xf numFmtId="0" fontId="26" fillId="0" borderId="0" xfId="0" applyFont="1"/>
    <xf numFmtId="0" fontId="28" fillId="0" borderId="0" xfId="0" applyFont="1"/>
    <xf numFmtId="14" fontId="26" fillId="0" borderId="0" xfId="0" quotePrefix="1" applyNumberFormat="1" applyFont="1"/>
    <xf numFmtId="0" fontId="26" fillId="0" borderId="0" xfId="0" quotePrefix="1" applyFont="1"/>
    <xf numFmtId="0" fontId="29" fillId="0" borderId="0" xfId="0" applyFont="1"/>
    <xf numFmtId="0" fontId="26" fillId="0" borderId="0" xfId="0" applyFont="1" applyAlignment="1">
      <alignment vertical="center"/>
    </xf>
    <xf numFmtId="0" fontId="24" fillId="0" borderId="1" xfId="0" applyFont="1" applyBorder="1"/>
    <xf numFmtId="0" fontId="24" fillId="0" borderId="1" xfId="0" quotePrefix="1" applyFont="1" applyBorder="1"/>
    <xf numFmtId="0" fontId="25" fillId="0" borderId="1" xfId="0" applyFont="1" applyBorder="1"/>
    <xf numFmtId="0" fontId="26" fillId="0" borderId="1" xfId="0" applyFont="1" applyBorder="1"/>
    <xf numFmtId="0" fontId="25" fillId="0" borderId="0" xfId="0" applyFont="1" applyAlignment="1">
      <alignment vertical="top"/>
    </xf>
    <xf numFmtId="0" fontId="24" fillId="0" borderId="17" xfId="0" applyFont="1" applyBorder="1"/>
    <xf numFmtId="0" fontId="24" fillId="0" borderId="17" xfId="0" quotePrefix="1" applyFont="1" applyBorder="1"/>
    <xf numFmtId="0" fontId="25" fillId="0" borderId="17" xfId="0" applyFont="1" applyBorder="1"/>
    <xf numFmtId="0" fontId="24" fillId="0" borderId="0" xfId="0" applyFont="1" applyAlignment="1">
      <alignment horizontal="left"/>
    </xf>
    <xf numFmtId="176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31" fillId="0" borderId="0" xfId="0" applyFont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0" xfId="1" applyNumberFormat="1" applyFont="1"/>
    <xf numFmtId="40" fontId="2" fillId="0" borderId="0" xfId="1" applyFont="1"/>
    <xf numFmtId="40" fontId="2" fillId="0" borderId="0" xfId="1" applyFont="1" applyFill="1"/>
    <xf numFmtId="40" fontId="2" fillId="0" borderId="0" xfId="1" applyFont="1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9" fontId="5" fillId="0" borderId="0" xfId="2" applyFont="1" applyFill="1" applyBorder="1" applyAlignment="1" applyProtection="1">
      <alignment horizontal="left"/>
      <protection locked="0"/>
    </xf>
    <xf numFmtId="40" fontId="4" fillId="0" borderId="0" xfId="1" applyFont="1" applyBorder="1" applyAlignment="1">
      <alignment horizontal="right"/>
    </xf>
    <xf numFmtId="166" fontId="6" fillId="6" borderId="29" xfId="0" applyNumberFormat="1" applyFont="1" applyFill="1" applyBorder="1" applyAlignment="1">
      <alignment horizontal="center"/>
    </xf>
    <xf numFmtId="166" fontId="6" fillId="6" borderId="30" xfId="0" applyNumberFormat="1" applyFont="1" applyFill="1" applyBorder="1" applyAlignment="1">
      <alignment horizontal="center"/>
    </xf>
    <xf numFmtId="166" fontId="6" fillId="6" borderId="38" xfId="1" applyNumberFormat="1" applyFont="1" applyFill="1" applyBorder="1" applyAlignment="1" applyProtection="1">
      <alignment horizontal="center"/>
    </xf>
    <xf numFmtId="39" fontId="6" fillId="6" borderId="31" xfId="0" applyNumberFormat="1" applyFont="1" applyFill="1" applyBorder="1" applyAlignment="1">
      <alignment horizontal="right"/>
    </xf>
    <xf numFmtId="39" fontId="6" fillId="6" borderId="6" xfId="0" applyNumberFormat="1" applyFont="1" applyFill="1" applyBorder="1" applyAlignment="1">
      <alignment horizontal="right"/>
    </xf>
    <xf numFmtId="39" fontId="6" fillId="3" borderId="30" xfId="0" applyNumberFormat="1" applyFont="1" applyFill="1" applyBorder="1" applyAlignment="1">
      <alignment horizontal="right"/>
    </xf>
    <xf numFmtId="39" fontId="6" fillId="6" borderId="30" xfId="0" applyNumberFormat="1" applyFont="1" applyFill="1" applyBorder="1" applyAlignment="1">
      <alignment horizontal="right"/>
    </xf>
    <xf numFmtId="40" fontId="6" fillId="0" borderId="0" xfId="1" applyFont="1" applyFill="1" applyBorder="1" applyProtection="1"/>
    <xf numFmtId="39" fontId="6" fillId="6" borderId="33" xfId="0" applyNumberFormat="1" applyFont="1" applyFill="1" applyBorder="1" applyAlignment="1">
      <alignment horizontal="right"/>
    </xf>
    <xf numFmtId="40" fontId="4" fillId="0" borderId="0" xfId="1" applyFont="1" applyAlignment="1" applyProtection="1"/>
    <xf numFmtId="39" fontId="6" fillId="3" borderId="40" xfId="0" applyNumberFormat="1" applyFont="1" applyFill="1" applyBorder="1" applyAlignment="1">
      <alignment horizontal="right"/>
    </xf>
    <xf numFmtId="39" fontId="4" fillId="0" borderId="5" xfId="1" applyNumberFormat="1" applyFont="1" applyFill="1" applyBorder="1" applyAlignment="1" applyProtection="1">
      <alignment horizontal="right"/>
    </xf>
    <xf numFmtId="39" fontId="4" fillId="0" borderId="36" xfId="1" applyNumberFormat="1" applyFont="1" applyFill="1" applyBorder="1" applyAlignment="1" applyProtection="1">
      <alignment horizontal="right"/>
    </xf>
    <xf numFmtId="39" fontId="4" fillId="0" borderId="10" xfId="1" applyNumberFormat="1" applyFont="1" applyFill="1" applyBorder="1" applyAlignment="1" applyProtection="1">
      <alignment horizontal="right"/>
    </xf>
    <xf numFmtId="39" fontId="4" fillId="0" borderId="6" xfId="1" applyNumberFormat="1" applyFont="1" applyFill="1" applyBorder="1" applyAlignment="1" applyProtection="1">
      <alignment horizontal="right"/>
    </xf>
    <xf numFmtId="39" fontId="4" fillId="0" borderId="31" xfId="1" applyNumberFormat="1" applyFont="1" applyFill="1" applyBorder="1" applyAlignment="1" applyProtection="1">
      <alignment horizontal="right"/>
    </xf>
    <xf numFmtId="39" fontId="6" fillId="0" borderId="36" xfId="1" applyNumberFormat="1" applyFont="1" applyFill="1" applyBorder="1" applyAlignment="1" applyProtection="1">
      <alignment horizontal="right"/>
    </xf>
    <xf numFmtId="39" fontId="6" fillId="0" borderId="31" xfId="1" applyNumberFormat="1" applyFont="1" applyFill="1" applyBorder="1" applyAlignment="1" applyProtection="1">
      <alignment horizontal="right"/>
    </xf>
    <xf numFmtId="39" fontId="6" fillId="0" borderId="35" xfId="1" applyNumberFormat="1" applyFont="1" applyFill="1" applyBorder="1" applyAlignment="1" applyProtection="1">
      <alignment horizontal="right"/>
    </xf>
    <xf numFmtId="39" fontId="6" fillId="0" borderId="34" xfId="1" applyNumberFormat="1" applyFont="1" applyFill="1" applyBorder="1" applyAlignment="1" applyProtection="1">
      <alignment horizontal="right"/>
    </xf>
    <xf numFmtId="177" fontId="2" fillId="0" borderId="0" xfId="0" applyNumberFormat="1" applyFont="1"/>
    <xf numFmtId="0" fontId="12" fillId="4" borderId="27" xfId="0" applyFont="1" applyFill="1" applyBorder="1"/>
    <xf numFmtId="38" fontId="4" fillId="0" borderId="0" xfId="0" applyNumberFormat="1" applyFont="1" applyAlignment="1">
      <alignment horizontal="right"/>
    </xf>
    <xf numFmtId="178" fontId="4" fillId="0" borderId="0" xfId="0" applyNumberFormat="1" applyFont="1"/>
    <xf numFmtId="179" fontId="4" fillId="0" borderId="0" xfId="1" applyNumberFormat="1" applyFont="1"/>
    <xf numFmtId="179" fontId="6" fillId="0" borderId="0" xfId="1" applyNumberFormat="1" applyFont="1"/>
    <xf numFmtId="179" fontId="6" fillId="0" borderId="0" xfId="1" applyNumberFormat="1" applyFont="1" applyFill="1" applyBorder="1" applyAlignment="1" applyProtection="1">
      <alignment horizontal="right"/>
      <protection locked="0"/>
    </xf>
    <xf numFmtId="0" fontId="6" fillId="0" borderId="65" xfId="0" applyFont="1" applyBorder="1"/>
    <xf numFmtId="0" fontId="6" fillId="0" borderId="66" xfId="0" applyFont="1" applyBorder="1" applyAlignment="1">
      <alignment horizontal="left"/>
    </xf>
    <xf numFmtId="0" fontId="2" fillId="0" borderId="67" xfId="0" applyFont="1" applyBorder="1"/>
    <xf numFmtId="0" fontId="4" fillId="0" borderId="68" xfId="0" applyFont="1" applyBorder="1"/>
    <xf numFmtId="0" fontId="2" fillId="0" borderId="69" xfId="0" applyFont="1" applyBorder="1"/>
    <xf numFmtId="165" fontId="4" fillId="0" borderId="0" xfId="0" applyNumberFormat="1" applyFont="1"/>
    <xf numFmtId="165" fontId="4" fillId="0" borderId="69" xfId="0" applyNumberFormat="1" applyFont="1" applyBorder="1"/>
    <xf numFmtId="170" fontId="4" fillId="0" borderId="69" xfId="0" applyNumberFormat="1" applyFont="1" applyBorder="1"/>
    <xf numFmtId="0" fontId="2" fillId="0" borderId="68" xfId="0" applyFont="1" applyBorder="1"/>
    <xf numFmtId="164" fontId="4" fillId="0" borderId="69" xfId="0" applyNumberFormat="1" applyFont="1" applyBorder="1"/>
    <xf numFmtId="0" fontId="4" fillId="0" borderId="70" xfId="0" applyFont="1" applyBorder="1"/>
    <xf numFmtId="170" fontId="4" fillId="0" borderId="71" xfId="0" applyNumberFormat="1" applyFont="1" applyBorder="1"/>
    <xf numFmtId="0" fontId="4" fillId="0" borderId="75" xfId="0" applyFont="1" applyBorder="1"/>
    <xf numFmtId="0" fontId="4" fillId="0" borderId="76" xfId="0" applyFont="1" applyBorder="1"/>
    <xf numFmtId="0" fontId="4" fillId="0" borderId="66" xfId="0" applyFont="1" applyBorder="1"/>
    <xf numFmtId="40" fontId="2" fillId="0" borderId="69" xfId="1" applyFont="1" applyBorder="1"/>
    <xf numFmtId="40" fontId="4" fillId="0" borderId="41" xfId="1" applyFont="1" applyFill="1" applyBorder="1" applyAlignment="1">
      <alignment horizontal="right" vertical="center"/>
    </xf>
    <xf numFmtId="40" fontId="2" fillId="0" borderId="71" xfId="1" applyFont="1" applyBorder="1"/>
    <xf numFmtId="0" fontId="4" fillId="0" borderId="0" xfId="0" applyFont="1" applyProtection="1">
      <protection locked="0"/>
    </xf>
    <xf numFmtId="169" fontId="6" fillId="0" borderId="80" xfId="1" applyNumberFormat="1" applyFont="1" applyFill="1" applyBorder="1" applyAlignment="1">
      <alignment horizontal="right"/>
    </xf>
    <xf numFmtId="0" fontId="4" fillId="0" borderId="12" xfId="0" applyFont="1" applyBorder="1"/>
    <xf numFmtId="0" fontId="15" fillId="0" borderId="81" xfId="0" applyFont="1" applyBorder="1" applyAlignment="1">
      <alignment horizontal="left"/>
    </xf>
    <xf numFmtId="0" fontId="15" fillId="0" borderId="81" xfId="0" applyFont="1" applyBorder="1" applyAlignment="1">
      <alignment horizontal="left" wrapText="1"/>
    </xf>
    <xf numFmtId="0" fontId="15" fillId="0" borderId="81" xfId="0" applyFont="1" applyBorder="1" applyAlignment="1">
      <alignment horizontal="left" vertical="top" wrapText="1"/>
    </xf>
    <xf numFmtId="0" fontId="17" fillId="0" borderId="82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83" xfId="0" applyFont="1" applyBorder="1" applyAlignment="1">
      <alignment horizontal="left"/>
    </xf>
    <xf numFmtId="0" fontId="6" fillId="3" borderId="80" xfId="0" applyFont="1" applyFill="1" applyBorder="1"/>
    <xf numFmtId="0" fontId="4" fillId="3" borderId="12" xfId="0" applyFont="1" applyFill="1" applyBorder="1"/>
    <xf numFmtId="0" fontId="15" fillId="3" borderId="81" xfId="0" applyFont="1" applyFill="1" applyBorder="1"/>
    <xf numFmtId="0" fontId="4" fillId="3" borderId="84" xfId="0" applyFont="1" applyFill="1" applyBorder="1" applyAlignment="1">
      <alignment wrapText="1"/>
    </xf>
    <xf numFmtId="0" fontId="6" fillId="6" borderId="80" xfId="0" applyFont="1" applyFill="1" applyBorder="1" applyAlignment="1">
      <alignment wrapText="1"/>
    </xf>
    <xf numFmtId="0" fontId="4" fillId="6" borderId="81" xfId="0" applyFont="1" applyFill="1" applyBorder="1"/>
    <xf numFmtId="0" fontId="15" fillId="6" borderId="81" xfId="0" applyFont="1" applyFill="1" applyBorder="1"/>
    <xf numFmtId="39" fontId="4" fillId="0" borderId="5" xfId="1" applyNumberFormat="1" applyFont="1" applyFill="1" applyBorder="1" applyAlignment="1" applyProtection="1">
      <alignment horizontal="right"/>
      <protection locked="0"/>
    </xf>
    <xf numFmtId="39" fontId="4" fillId="0" borderId="31" xfId="1" applyNumberFormat="1" applyFont="1" applyFill="1" applyBorder="1" applyAlignment="1" applyProtection="1">
      <alignment horizontal="right"/>
      <protection locked="0"/>
    </xf>
    <xf numFmtId="39" fontId="4" fillId="0" borderId="6" xfId="1" applyNumberFormat="1" applyFont="1" applyFill="1" applyBorder="1" applyAlignment="1" applyProtection="1">
      <alignment horizontal="right"/>
      <protection locked="0"/>
    </xf>
    <xf numFmtId="39" fontId="4" fillId="0" borderId="6" xfId="1" quotePrefix="1" applyNumberFormat="1" applyFont="1" applyFill="1" applyBorder="1" applyAlignment="1" applyProtection="1">
      <alignment horizontal="right"/>
      <protection locked="0"/>
    </xf>
    <xf numFmtId="39" fontId="4" fillId="0" borderId="36" xfId="1" quotePrefix="1" applyNumberFormat="1" applyFont="1" applyFill="1" applyBorder="1" applyAlignment="1" applyProtection="1">
      <alignment horizontal="right"/>
      <protection locked="0"/>
    </xf>
    <xf numFmtId="39" fontId="6" fillId="0" borderId="37" xfId="1" applyNumberFormat="1" applyFont="1" applyFill="1" applyBorder="1" applyAlignment="1" applyProtection="1">
      <alignment horizontal="right"/>
    </xf>
    <xf numFmtId="39" fontId="6" fillId="3" borderId="31" xfId="1" applyNumberFormat="1" applyFont="1" applyFill="1" applyBorder="1" applyAlignment="1" applyProtection="1">
      <alignment horizontal="right"/>
    </xf>
    <xf numFmtId="39" fontId="6" fillId="3" borderId="6" xfId="1" applyNumberFormat="1" applyFont="1" applyFill="1" applyBorder="1" applyAlignment="1" applyProtection="1">
      <alignment horizontal="right"/>
    </xf>
    <xf numFmtId="39" fontId="6" fillId="3" borderId="32" xfId="1" applyNumberFormat="1" applyFont="1" applyFill="1" applyBorder="1" applyAlignment="1" applyProtection="1">
      <alignment horizontal="right"/>
    </xf>
    <xf numFmtId="39" fontId="6" fillId="3" borderId="33" xfId="1" applyNumberFormat="1" applyFont="1" applyFill="1" applyBorder="1" applyAlignment="1" applyProtection="1">
      <alignment horizontal="right"/>
    </xf>
    <xf numFmtId="39" fontId="6" fillId="6" borderId="6" xfId="1" applyNumberFormat="1" applyFont="1" applyFill="1" applyBorder="1" applyAlignment="1" applyProtection="1">
      <alignment horizontal="right"/>
    </xf>
    <xf numFmtId="39" fontId="6" fillId="6" borderId="31" xfId="1" applyNumberFormat="1" applyFont="1" applyFill="1" applyBorder="1" applyAlignment="1" applyProtection="1">
      <alignment horizontal="right"/>
    </xf>
    <xf numFmtId="39" fontId="6" fillId="6" borderId="32" xfId="1" applyNumberFormat="1" applyFont="1" applyFill="1" applyBorder="1" applyAlignment="1" applyProtection="1">
      <alignment horizontal="right"/>
    </xf>
    <xf numFmtId="39" fontId="6" fillId="6" borderId="33" xfId="1" applyNumberFormat="1" applyFont="1" applyFill="1" applyBorder="1" applyAlignment="1" applyProtection="1">
      <alignment horizontal="right"/>
    </xf>
    <xf numFmtId="39" fontId="6" fillId="6" borderId="10" xfId="1" applyNumberFormat="1" applyFont="1" applyFill="1" applyBorder="1" applyAlignment="1" applyProtection="1">
      <alignment horizontal="right"/>
    </xf>
    <xf numFmtId="39" fontId="6" fillId="6" borderId="63" xfId="1" applyNumberFormat="1" applyFont="1" applyFill="1" applyBorder="1" applyAlignment="1" applyProtection="1">
      <alignment horizontal="right"/>
    </xf>
    <xf numFmtId="39" fontId="6" fillId="3" borderId="10" xfId="1" applyNumberFormat="1" applyFont="1" applyFill="1" applyBorder="1" applyAlignment="1" applyProtection="1">
      <alignment horizontal="right"/>
    </xf>
    <xf numFmtId="39" fontId="6" fillId="0" borderId="40" xfId="1" quotePrefix="1" applyNumberFormat="1" applyFont="1" applyFill="1" applyBorder="1" applyAlignment="1" applyProtection="1">
      <alignment horizontal="right"/>
    </xf>
    <xf numFmtId="39" fontId="4" fillId="0" borderId="10" xfId="1" applyNumberFormat="1" applyFont="1" applyFill="1" applyBorder="1" applyAlignment="1" applyProtection="1">
      <alignment horizontal="right"/>
      <protection locked="0"/>
    </xf>
    <xf numFmtId="39" fontId="6" fillId="0" borderId="40" xfId="1" applyNumberFormat="1" applyFont="1" applyFill="1" applyBorder="1" applyAlignment="1" applyProtection="1">
      <alignment horizontal="right"/>
    </xf>
    <xf numFmtId="39" fontId="4" fillId="0" borderId="31" xfId="1" quotePrefix="1" applyNumberFormat="1" applyFont="1" applyFill="1" applyBorder="1" applyAlignment="1" applyProtection="1">
      <alignment horizontal="right"/>
      <protection locked="0"/>
    </xf>
    <xf numFmtId="39" fontId="6" fillId="0" borderId="39" xfId="1" applyNumberFormat="1" applyFont="1" applyFill="1" applyBorder="1" applyAlignment="1" applyProtection="1">
      <alignment horizontal="right"/>
    </xf>
    <xf numFmtId="39" fontId="6" fillId="0" borderId="55" xfId="1" applyNumberFormat="1" applyFont="1" applyFill="1" applyBorder="1" applyAlignment="1" applyProtection="1">
      <alignment horizontal="right"/>
    </xf>
    <xf numFmtId="9" fontId="4" fillId="7" borderId="0" xfId="2" applyFont="1" applyFill="1" applyProtection="1">
      <protection locked="0"/>
    </xf>
    <xf numFmtId="39" fontId="4" fillId="0" borderId="85" xfId="1" applyNumberFormat="1" applyFont="1" applyFill="1" applyBorder="1" applyAlignment="1" applyProtection="1">
      <alignment horizontal="right"/>
    </xf>
    <xf numFmtId="169" fontId="6" fillId="0" borderId="86" xfId="1" applyNumberFormat="1" applyFont="1" applyFill="1" applyBorder="1" applyAlignment="1">
      <alignment horizontal="right"/>
    </xf>
    <xf numFmtId="0" fontId="4" fillId="0" borderId="87" xfId="0" applyFont="1" applyBorder="1"/>
    <xf numFmtId="0" fontId="15" fillId="0" borderId="88" xfId="0" applyFont="1" applyBorder="1" applyAlignment="1">
      <alignment horizontal="left"/>
    </xf>
    <xf numFmtId="0" fontId="15" fillId="0" borderId="88" xfId="0" applyFont="1" applyBorder="1" applyAlignment="1">
      <alignment horizontal="left" wrapText="1"/>
    </xf>
    <xf numFmtId="0" fontId="15" fillId="0" borderId="88" xfId="0" applyFont="1" applyBorder="1" applyAlignment="1">
      <alignment horizontal="left" vertical="top" wrapText="1"/>
    </xf>
    <xf numFmtId="0" fontId="17" fillId="0" borderId="89" xfId="0" applyFont="1" applyBorder="1" applyAlignment="1">
      <alignment horizontal="left"/>
    </xf>
    <xf numFmtId="0" fontId="15" fillId="0" borderId="90" xfId="0" applyFont="1" applyBorder="1" applyAlignment="1">
      <alignment horizontal="left"/>
    </xf>
    <xf numFmtId="0" fontId="15" fillId="0" borderId="70" xfId="0" applyFont="1" applyBorder="1" applyAlignment="1">
      <alignment horizontal="left"/>
    </xf>
    <xf numFmtId="0" fontId="6" fillId="3" borderId="86" xfId="0" applyFont="1" applyFill="1" applyBorder="1"/>
    <xf numFmtId="0" fontId="4" fillId="3" borderId="87" xfId="0" applyFont="1" applyFill="1" applyBorder="1"/>
    <xf numFmtId="0" fontId="15" fillId="3" borderId="88" xfId="0" applyFont="1" applyFill="1" applyBorder="1"/>
    <xf numFmtId="0" fontId="4" fillId="3" borderId="92" xfId="0" applyFont="1" applyFill="1" applyBorder="1" applyAlignment="1">
      <alignment wrapText="1"/>
    </xf>
    <xf numFmtId="0" fontId="6" fillId="6" borderId="86" xfId="0" applyFont="1" applyFill="1" applyBorder="1" applyAlignment="1">
      <alignment wrapText="1"/>
    </xf>
    <xf numFmtId="0" fontId="4" fillId="6" borderId="88" xfId="0" applyFont="1" applyFill="1" applyBorder="1"/>
    <xf numFmtId="0" fontId="15" fillId="6" borderId="88" xfId="0" applyFont="1" applyFill="1" applyBorder="1"/>
    <xf numFmtId="0" fontId="15" fillId="0" borderId="8" xfId="0" applyFont="1" applyBorder="1" applyAlignment="1">
      <alignment horizontal="left"/>
    </xf>
    <xf numFmtId="39" fontId="15" fillId="0" borderId="88" xfId="0" applyNumberFormat="1" applyFont="1" applyBorder="1" applyAlignment="1">
      <alignment horizontal="left"/>
    </xf>
    <xf numFmtId="39" fontId="15" fillId="0" borderId="90" xfId="0" applyNumberFormat="1" applyFont="1" applyBorder="1" applyAlignment="1">
      <alignment horizontal="left"/>
    </xf>
    <xf numFmtId="0" fontId="4" fillId="0" borderId="81" xfId="0" applyFont="1" applyBorder="1"/>
    <xf numFmtId="39" fontId="6" fillId="0" borderId="93" xfId="1" applyNumberFormat="1" applyFont="1" applyFill="1" applyBorder="1" applyAlignment="1">
      <alignment horizontal="right"/>
    </xf>
    <xf numFmtId="39" fontId="4" fillId="0" borderId="95" xfId="1" applyNumberFormat="1" applyFont="1" applyFill="1" applyBorder="1" applyAlignment="1">
      <alignment horizontal="right"/>
    </xf>
    <xf numFmtId="39" fontId="6" fillId="0" borderId="94" xfId="1" applyNumberFormat="1" applyFont="1" applyFill="1" applyBorder="1" applyAlignment="1">
      <alignment horizontal="right"/>
    </xf>
    <xf numFmtId="39" fontId="4" fillId="0" borderId="96" xfId="1" applyNumberFormat="1" applyFont="1" applyFill="1" applyBorder="1" applyAlignment="1">
      <alignment horizontal="right"/>
    </xf>
    <xf numFmtId="0" fontId="17" fillId="0" borderId="91" xfId="0" applyFont="1" applyBorder="1" applyAlignment="1">
      <alignment horizontal="left"/>
    </xf>
    <xf numFmtId="0" fontId="17" fillId="0" borderId="97" xfId="0" applyFont="1" applyBorder="1" applyAlignment="1">
      <alignment horizontal="left"/>
    </xf>
    <xf numFmtId="0" fontId="4" fillId="0" borderId="88" xfId="0" applyFont="1" applyBorder="1"/>
    <xf numFmtId="0" fontId="15" fillId="0" borderId="98" xfId="0" applyFont="1" applyBorder="1" applyAlignment="1">
      <alignment horizontal="left"/>
    </xf>
    <xf numFmtId="0" fontId="15" fillId="0" borderId="99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4" fillId="0" borderId="0" xfId="3" applyFont="1" applyAlignment="1">
      <alignment vertical="top"/>
    </xf>
    <xf numFmtId="0" fontId="2" fillId="2" borderId="64" xfId="0" applyFont="1" applyFill="1" applyBorder="1" applyAlignment="1">
      <alignment vertical="top"/>
    </xf>
    <xf numFmtId="0" fontId="33" fillId="0" borderId="64" xfId="0" applyFont="1" applyBorder="1" applyAlignment="1">
      <alignment vertical="top"/>
    </xf>
    <xf numFmtId="0" fontId="2" fillId="0" borderId="11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14" fillId="0" borderId="0" xfId="3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4" fillId="0" borderId="1" xfId="3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34" fillId="0" borderId="1" xfId="0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0" xfId="0" quotePrefix="1" applyFont="1" applyAlignment="1">
      <alignment horizontal="right" vertical="top"/>
    </xf>
    <xf numFmtId="0" fontId="14" fillId="0" borderId="0" xfId="3" quotePrefix="1" applyFont="1" applyBorder="1" applyAlignment="1">
      <alignment vertical="top"/>
    </xf>
    <xf numFmtId="0" fontId="2" fillId="0" borderId="11" xfId="0" quotePrefix="1" applyFont="1" applyBorder="1" applyAlignment="1">
      <alignment vertical="top"/>
    </xf>
    <xf numFmtId="0" fontId="2" fillId="0" borderId="20" xfId="0" quotePrefix="1" applyFont="1" applyBorder="1" applyAlignment="1">
      <alignment vertical="top"/>
    </xf>
    <xf numFmtId="0" fontId="2" fillId="0" borderId="1" xfId="0" quotePrefix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32" fillId="0" borderId="0" xfId="0" applyFont="1" applyAlignment="1">
      <alignment vertical="center"/>
    </xf>
    <xf numFmtId="172" fontId="7" fillId="3" borderId="0" xfId="0" applyNumberFormat="1" applyFont="1" applyFill="1"/>
    <xf numFmtId="0" fontId="6" fillId="0" borderId="17" xfId="0" applyFont="1" applyBorder="1" applyAlignment="1">
      <alignment horizontal="right"/>
    </xf>
    <xf numFmtId="0" fontId="6" fillId="0" borderId="6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39" fontId="6" fillId="0" borderId="0" xfId="0" applyNumberFormat="1" applyFont="1" applyAlignment="1">
      <alignment horizontal="right" vertical="center"/>
    </xf>
    <xf numFmtId="0" fontId="2" fillId="0" borderId="61" xfId="0" applyFont="1" applyBorder="1"/>
    <xf numFmtId="0" fontId="2" fillId="0" borderId="58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81" xfId="0" applyFont="1" applyBorder="1" applyAlignment="1">
      <alignment horizontal="left"/>
    </xf>
    <xf numFmtId="0" fontId="4" fillId="0" borderId="87" xfId="0" applyFont="1" applyBorder="1" applyAlignment="1">
      <alignment wrapText="1"/>
    </xf>
    <xf numFmtId="182" fontId="4" fillId="0" borderId="0" xfId="0" applyNumberFormat="1" applyFont="1"/>
    <xf numFmtId="0" fontId="33" fillId="4" borderId="60" xfId="0" applyFont="1" applyFill="1" applyBorder="1" applyAlignment="1">
      <alignment vertical="top"/>
    </xf>
    <xf numFmtId="0" fontId="33" fillId="4" borderId="58" xfId="0" applyFont="1" applyFill="1" applyBorder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61" xfId="0" applyFont="1" applyBorder="1" applyAlignment="1">
      <alignment vertical="top"/>
    </xf>
    <xf numFmtId="0" fontId="3" fillId="0" borderId="61" xfId="0" applyFont="1" applyBorder="1" applyAlignment="1">
      <alignment vertical="top"/>
    </xf>
    <xf numFmtId="0" fontId="2" fillId="0" borderId="11" xfId="0" quotePrefix="1" applyFont="1" applyBorder="1" applyAlignment="1">
      <alignment horizontal="right" vertical="top"/>
    </xf>
    <xf numFmtId="0" fontId="2" fillId="0" borderId="11" xfId="0" applyFont="1" applyBorder="1" applyAlignment="1">
      <alignment horizontal="right" vertical="top"/>
    </xf>
    <xf numFmtId="0" fontId="2" fillId="0" borderId="20" xfId="0" quotePrefix="1" applyFont="1" applyBorder="1" applyAlignment="1">
      <alignment horizontal="right" vertical="top"/>
    </xf>
    <xf numFmtId="0" fontId="12" fillId="0" borderId="0" xfId="0" applyFont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1" xfId="0" quotePrefix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14" fillId="0" borderId="21" xfId="3" applyFont="1" applyFill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17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40" fontId="4" fillId="0" borderId="4" xfId="1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10" fillId="5" borderId="0" xfId="0" applyFont="1" applyFill="1" applyAlignment="1">
      <alignment horizontal="left" wrapText="1"/>
    </xf>
    <xf numFmtId="0" fontId="4" fillId="6" borderId="90" xfId="0" applyFont="1" applyFill="1" applyBorder="1" applyAlignment="1">
      <alignment wrapText="1"/>
    </xf>
    <xf numFmtId="0" fontId="4" fillId="6" borderId="14" xfId="0" applyFont="1" applyFill="1" applyBorder="1"/>
    <xf numFmtId="39" fontId="6" fillId="6" borderId="15" xfId="1" applyNumberFormat="1" applyFont="1" applyFill="1" applyBorder="1" applyAlignment="1" applyProtection="1">
      <alignment horizontal="right"/>
    </xf>
    <xf numFmtId="39" fontId="6" fillId="6" borderId="35" xfId="1" applyNumberFormat="1" applyFont="1" applyFill="1" applyBorder="1" applyAlignment="1" applyProtection="1">
      <alignment horizontal="right"/>
    </xf>
    <xf numFmtId="39" fontId="6" fillId="6" borderId="13" xfId="1" applyNumberFormat="1" applyFont="1" applyFill="1" applyBorder="1" applyAlignment="1" applyProtection="1">
      <alignment horizontal="right"/>
    </xf>
    <xf numFmtId="39" fontId="6" fillId="6" borderId="35" xfId="0" applyNumberFormat="1" applyFont="1" applyFill="1" applyBorder="1" applyAlignment="1">
      <alignment horizontal="right"/>
    </xf>
    <xf numFmtId="39" fontId="4" fillId="0" borderId="62" xfId="0" applyNumberFormat="1" applyFont="1" applyBorder="1" applyAlignment="1">
      <alignment horizontal="right"/>
    </xf>
    <xf numFmtId="2" fontId="2" fillId="0" borderId="62" xfId="0" applyNumberFormat="1" applyFont="1" applyBorder="1" applyAlignment="1">
      <alignment wrapText="1"/>
    </xf>
    <xf numFmtId="40" fontId="4" fillId="0" borderId="62" xfId="1" applyFont="1" applyFill="1" applyBorder="1" applyProtection="1"/>
    <xf numFmtId="0" fontId="4" fillId="0" borderId="62" xfId="0" applyFont="1" applyBorder="1"/>
    <xf numFmtId="39" fontId="6" fillId="3" borderId="5" xfId="1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8" borderId="0" xfId="0" applyFont="1" applyFill="1" applyAlignment="1" applyProtection="1">
      <alignment horizontal="left"/>
      <protection locked="0"/>
    </xf>
    <xf numFmtId="9" fontId="5" fillId="8" borderId="0" xfId="2" applyFont="1" applyFill="1" applyBorder="1" applyAlignment="1" applyProtection="1">
      <alignment horizontal="left"/>
      <protection locked="0"/>
    </xf>
    <xf numFmtId="164" fontId="4" fillId="8" borderId="0" xfId="0" applyNumberFormat="1" applyFont="1" applyFill="1" applyProtection="1">
      <protection locked="0"/>
    </xf>
    <xf numFmtId="164" fontId="4" fillId="8" borderId="0" xfId="2" applyNumberFormat="1" applyFont="1" applyFill="1" applyBorder="1" applyProtection="1">
      <protection locked="0"/>
    </xf>
    <xf numFmtId="14" fontId="5" fillId="8" borderId="0" xfId="0" applyNumberFormat="1" applyFont="1" applyFill="1" applyProtection="1">
      <protection locked="0"/>
    </xf>
    <xf numFmtId="170" fontId="4" fillId="8" borderId="0" xfId="0" applyNumberFormat="1" applyFont="1" applyFill="1" applyProtection="1">
      <protection locked="0"/>
    </xf>
    <xf numFmtId="164" fontId="4" fillId="8" borderId="41" xfId="2" applyNumberFormat="1" applyFont="1" applyFill="1" applyBorder="1" applyProtection="1">
      <protection locked="0"/>
    </xf>
    <xf numFmtId="39" fontId="4" fillId="8" borderId="6" xfId="1" applyNumberFormat="1" applyFont="1" applyFill="1" applyBorder="1" applyAlignment="1" applyProtection="1">
      <alignment horizontal="right"/>
      <protection locked="0"/>
    </xf>
    <xf numFmtId="39" fontId="4" fillId="8" borderId="6" xfId="0" applyNumberFormat="1" applyFont="1" applyFill="1" applyBorder="1" applyAlignment="1" applyProtection="1">
      <alignment horizontal="right"/>
      <protection locked="0"/>
    </xf>
    <xf numFmtId="39" fontId="4" fillId="8" borderId="31" xfId="1" applyNumberFormat="1" applyFont="1" applyFill="1" applyBorder="1" applyAlignment="1" applyProtection="1">
      <alignment horizontal="right"/>
      <protection locked="0"/>
    </xf>
    <xf numFmtId="39" fontId="4" fillId="8" borderId="31" xfId="0" applyNumberFormat="1" applyFont="1" applyFill="1" applyBorder="1" applyAlignment="1" applyProtection="1">
      <alignment horizontal="right"/>
      <protection locked="0"/>
    </xf>
    <xf numFmtId="39" fontId="4" fillId="8" borderId="10" xfId="1" applyNumberFormat="1" applyFont="1" applyFill="1" applyBorder="1" applyAlignment="1" applyProtection="1">
      <alignment horizontal="right"/>
      <protection locked="0"/>
    </xf>
    <xf numFmtId="0" fontId="2" fillId="8" borderId="11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Alignment="1" applyProtection="1">
      <alignment horizontal="left" vertical="top" wrapText="1"/>
      <protection locked="0"/>
    </xf>
    <xf numFmtId="0" fontId="2" fillId="8" borderId="19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Alignment="1">
      <alignment horizontal="center"/>
    </xf>
    <xf numFmtId="0" fontId="25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left"/>
    </xf>
    <xf numFmtId="37" fontId="2" fillId="8" borderId="0" xfId="1" applyNumberFormat="1" applyFont="1" applyFill="1"/>
    <xf numFmtId="3" fontId="2" fillId="8" borderId="0" xfId="1" applyNumberFormat="1" applyFont="1" applyFill="1"/>
    <xf numFmtId="38" fontId="2" fillId="8" borderId="0" xfId="1" applyNumberFormat="1" applyFont="1" applyFill="1"/>
    <xf numFmtId="40" fontId="2" fillId="8" borderId="0" xfId="1" applyFont="1" applyFill="1"/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9" fontId="4" fillId="0" borderId="15" xfId="1" applyNumberFormat="1" applyFont="1" applyFill="1" applyBorder="1" applyAlignment="1" applyProtection="1">
      <alignment horizontal="right"/>
      <protection locked="0"/>
    </xf>
    <xf numFmtId="39" fontId="4" fillId="0" borderId="35" xfId="1" applyNumberFormat="1" applyFont="1" applyFill="1" applyBorder="1" applyAlignment="1" applyProtection="1">
      <alignment horizontal="right"/>
      <protection locked="0"/>
    </xf>
    <xf numFmtId="39" fontId="4" fillId="0" borderId="34" xfId="1" applyNumberFormat="1" applyFont="1" applyFill="1" applyBorder="1" applyAlignment="1" applyProtection="1">
      <alignment horizontal="right"/>
      <protection locked="0"/>
    </xf>
    <xf numFmtId="0" fontId="4" fillId="6" borderId="92" xfId="0" applyFont="1" applyFill="1" applyBorder="1" applyAlignment="1">
      <alignment wrapText="1"/>
    </xf>
    <xf numFmtId="39" fontId="6" fillId="6" borderId="84" xfId="1" applyNumberFormat="1" applyFont="1" applyFill="1" applyBorder="1" applyAlignment="1" applyProtection="1">
      <alignment horizontal="right"/>
    </xf>
    <xf numFmtId="39" fontId="4" fillId="6" borderId="63" xfId="1" applyNumberFormat="1" applyFont="1" applyFill="1" applyBorder="1" applyAlignment="1" applyProtection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14" fillId="0" borderId="0" xfId="3" applyFont="1" applyFill="1" applyAlignment="1">
      <alignment horizontal="left"/>
    </xf>
    <xf numFmtId="0" fontId="14" fillId="0" borderId="0" xfId="3" applyFont="1" applyFill="1" applyAlignment="1">
      <alignment horizontal="left" vertical="top"/>
    </xf>
    <xf numFmtId="0" fontId="14" fillId="0" borderId="19" xfId="3" applyFont="1" applyFill="1" applyBorder="1" applyAlignment="1">
      <alignment horizontal="left" vertical="top"/>
    </xf>
    <xf numFmtId="0" fontId="6" fillId="8" borderId="0" xfId="0" applyFont="1" applyFill="1" applyAlignment="1" applyProtection="1">
      <alignment horizontal="left"/>
      <protection locked="0"/>
    </xf>
    <xf numFmtId="0" fontId="23" fillId="0" borderId="0" xfId="3" applyFont="1" applyFill="1" applyAlignment="1">
      <alignment horizontal="center" vertical="center" wrapText="1"/>
    </xf>
    <xf numFmtId="14" fontId="5" fillId="8" borderId="0" xfId="0" applyNumberFormat="1" applyFont="1" applyFill="1" applyAlignment="1" applyProtection="1">
      <alignment horizontal="left"/>
      <protection locked="0"/>
    </xf>
    <xf numFmtId="4" fontId="4" fillId="8" borderId="42" xfId="0" applyNumberFormat="1" applyFont="1" applyFill="1" applyBorder="1" applyAlignment="1" applyProtection="1">
      <alignment horizontal="left" wrapText="1"/>
      <protection locked="0"/>
    </xf>
    <xf numFmtId="4" fontId="4" fillId="8" borderId="45" xfId="0" applyNumberFormat="1" applyFont="1" applyFill="1" applyBorder="1" applyAlignment="1" applyProtection="1">
      <alignment horizontal="left" wrapText="1"/>
      <protection locked="0"/>
    </xf>
    <xf numFmtId="40" fontId="4" fillId="8" borderId="28" xfId="1" applyFont="1" applyFill="1" applyBorder="1" applyAlignment="1" applyProtection="1">
      <alignment horizontal="left" wrapText="1"/>
      <protection locked="0"/>
    </xf>
    <xf numFmtId="40" fontId="4" fillId="8" borderId="44" xfId="1" applyFont="1" applyFill="1" applyBorder="1" applyAlignment="1" applyProtection="1">
      <alignment horizontal="left" wrapText="1"/>
      <protection locked="0"/>
    </xf>
    <xf numFmtId="4" fontId="4" fillId="8" borderId="28" xfId="0" applyNumberFormat="1" applyFont="1" applyFill="1" applyBorder="1" applyAlignment="1" applyProtection="1">
      <alignment horizontal="left" wrapText="1"/>
      <protection locked="0"/>
    </xf>
    <xf numFmtId="4" fontId="4" fillId="8" borderId="44" xfId="0" applyNumberFormat="1" applyFont="1" applyFill="1" applyBorder="1" applyAlignment="1" applyProtection="1">
      <alignment horizontal="left" wrapText="1"/>
      <protection locked="0"/>
    </xf>
    <xf numFmtId="0" fontId="5" fillId="8" borderId="0" xfId="0" applyFont="1" applyFill="1" applyAlignment="1" applyProtection="1">
      <alignment horizontal="left"/>
      <protection locked="0"/>
    </xf>
    <xf numFmtId="180" fontId="18" fillId="0" borderId="0" xfId="0" applyNumberFormat="1" applyFont="1" applyAlignment="1">
      <alignment horizontal="left"/>
    </xf>
    <xf numFmtId="0" fontId="4" fillId="0" borderId="70" xfId="0" applyFont="1" applyBorder="1" applyAlignment="1">
      <alignment horizontal="left" wrapText="1"/>
    </xf>
    <xf numFmtId="0" fontId="4" fillId="0" borderId="41" xfId="0" applyFont="1" applyBorder="1" applyAlignment="1">
      <alignment horizontal="left" wrapText="1"/>
    </xf>
    <xf numFmtId="9" fontId="5" fillId="8" borderId="0" xfId="2" applyFont="1" applyFill="1" applyBorder="1" applyAlignment="1" applyProtection="1">
      <alignment horizontal="left"/>
      <protection locked="0"/>
    </xf>
    <xf numFmtId="0" fontId="19" fillId="0" borderId="7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76" xfId="0" applyFont="1" applyBorder="1" applyAlignment="1">
      <alignment horizontal="left" vertical="center" wrapText="1"/>
    </xf>
    <xf numFmtId="0" fontId="6" fillId="8" borderId="0" xfId="0" applyFont="1" applyFill="1" applyAlignment="1">
      <alignment horizontal="left"/>
    </xf>
    <xf numFmtId="0" fontId="16" fillId="0" borderId="7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6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0" fontId="3" fillId="0" borderId="0" xfId="1" applyFont="1" applyAlignment="1" applyProtection="1">
      <alignment horizontal="left" wrapText="1"/>
    </xf>
    <xf numFmtId="40" fontId="3" fillId="0" borderId="0" xfId="1" applyFont="1" applyAlignment="1" applyProtection="1">
      <alignment horizontal="left"/>
    </xf>
    <xf numFmtId="40" fontId="6" fillId="0" borderId="0" xfId="1" applyFont="1" applyAlignment="1" applyProtection="1">
      <alignment horizontal="left"/>
    </xf>
    <xf numFmtId="0" fontId="13" fillId="0" borderId="72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40" fontId="19" fillId="0" borderId="73" xfId="1" applyFont="1" applyFill="1" applyBorder="1" applyAlignment="1" applyProtection="1">
      <alignment horizontal="left" vertical="center" wrapText="1"/>
    </xf>
    <xf numFmtId="40" fontId="19" fillId="0" borderId="0" xfId="1" applyFont="1" applyFill="1" applyBorder="1" applyAlignment="1" applyProtection="1">
      <alignment horizontal="left" vertical="center" wrapText="1"/>
    </xf>
    <xf numFmtId="0" fontId="19" fillId="0" borderId="77" xfId="0" applyFont="1" applyBorder="1" applyAlignment="1">
      <alignment horizontal="left" vertical="center" wrapText="1"/>
    </xf>
    <xf numFmtId="0" fontId="19" fillId="0" borderId="78" xfId="0" applyFont="1" applyBorder="1" applyAlignment="1">
      <alignment horizontal="left" vertical="center" wrapText="1"/>
    </xf>
    <xf numFmtId="0" fontId="19" fillId="0" borderId="79" xfId="0" applyFont="1" applyBorder="1" applyAlignment="1">
      <alignment horizontal="left" vertical="center" wrapText="1"/>
    </xf>
    <xf numFmtId="0" fontId="2" fillId="8" borderId="20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21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6" fillId="8" borderId="20" xfId="0" applyFont="1" applyFill="1" applyBorder="1" applyAlignment="1" applyProtection="1">
      <alignment horizontal="left"/>
      <protection locked="0"/>
    </xf>
    <xf numFmtId="0" fontId="6" fillId="8" borderId="1" xfId="0" applyFont="1" applyFill="1" applyBorder="1" applyAlignment="1" applyProtection="1">
      <alignment horizontal="left"/>
      <protection locked="0"/>
    </xf>
    <xf numFmtId="0" fontId="6" fillId="8" borderId="21" xfId="0" applyFont="1" applyFill="1" applyBorder="1" applyAlignment="1" applyProtection="1">
      <alignment horizontal="left"/>
      <protection locked="0"/>
    </xf>
    <xf numFmtId="0" fontId="2" fillId="8" borderId="11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Alignment="1" applyProtection="1">
      <alignment horizontal="left" vertical="top" wrapText="1"/>
      <protection locked="0"/>
    </xf>
    <xf numFmtId="0" fontId="2" fillId="8" borderId="19" xfId="0" applyFont="1" applyFill="1" applyBorder="1" applyAlignment="1" applyProtection="1">
      <alignment horizontal="left" vertical="top" wrapText="1"/>
      <protection locked="0"/>
    </xf>
    <xf numFmtId="40" fontId="4" fillId="0" borderId="4" xfId="1" applyFont="1" applyBorder="1" applyAlignment="1">
      <alignment horizontal="left"/>
    </xf>
    <xf numFmtId="40" fontId="4" fillId="0" borderId="57" xfId="1" applyFont="1" applyBorder="1" applyAlignment="1">
      <alignment horizontal="left"/>
    </xf>
    <xf numFmtId="0" fontId="4" fillId="8" borderId="11" xfId="0" applyFont="1" applyFill="1" applyBorder="1" applyAlignment="1" applyProtection="1">
      <alignment horizontal="left"/>
      <protection locked="0"/>
    </xf>
    <xf numFmtId="0" fontId="4" fillId="8" borderId="19" xfId="0" applyFont="1" applyFill="1" applyBorder="1" applyAlignment="1" applyProtection="1">
      <alignment horizontal="left"/>
      <protection locked="0"/>
    </xf>
    <xf numFmtId="39" fontId="4" fillId="0" borderId="13" xfId="0" applyNumberFormat="1" applyFont="1" applyBorder="1" applyAlignment="1">
      <alignment horizontal="right" wrapText="1"/>
    </xf>
    <xf numFmtId="39" fontId="4" fillId="0" borderId="50" xfId="0" applyNumberFormat="1" applyFont="1" applyBorder="1" applyAlignment="1">
      <alignment horizontal="right" wrapText="1"/>
    </xf>
    <xf numFmtId="39" fontId="4" fillId="0" borderId="4" xfId="0" applyNumberFormat="1" applyFont="1" applyBorder="1" applyAlignment="1">
      <alignment horizontal="right" wrapText="1"/>
    </xf>
    <xf numFmtId="39" fontId="4" fillId="0" borderId="49" xfId="0" applyNumberFormat="1" applyFont="1" applyBorder="1" applyAlignment="1">
      <alignment horizontal="right" wrapText="1"/>
    </xf>
    <xf numFmtId="0" fontId="4" fillId="8" borderId="20" xfId="0" applyFont="1" applyFill="1" applyBorder="1" applyAlignment="1" applyProtection="1">
      <alignment horizontal="left"/>
      <protection locked="0"/>
    </xf>
    <xf numFmtId="0" fontId="4" fillId="8" borderId="1" xfId="0" applyFont="1" applyFill="1" applyBorder="1" applyAlignment="1" applyProtection="1">
      <alignment horizontal="left"/>
      <protection locked="0"/>
    </xf>
    <xf numFmtId="0" fontId="4" fillId="8" borderId="21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49" xfId="0" applyFont="1" applyBorder="1" applyAlignment="1">
      <alignment horizontal="left" wrapText="1"/>
    </xf>
    <xf numFmtId="169" fontId="6" fillId="0" borderId="1" xfId="0" applyNumberFormat="1" applyFont="1" applyBorder="1" applyAlignment="1">
      <alignment horizontal="left"/>
    </xf>
    <xf numFmtId="0" fontId="12" fillId="4" borderId="26" xfId="0" applyFont="1" applyFill="1" applyBorder="1" applyAlignment="1">
      <alignment horizontal="left" vertical="top" wrapText="1"/>
    </xf>
    <xf numFmtId="0" fontId="23" fillId="0" borderId="0" xfId="3" applyFont="1" applyAlignment="1">
      <alignment horizontal="center" vertical="center"/>
    </xf>
    <xf numFmtId="0" fontId="10" fillId="5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/>
      <protection locked="0"/>
    </xf>
    <xf numFmtId="0" fontId="3" fillId="5" borderId="0" xfId="3" applyFont="1" applyFill="1" applyAlignment="1">
      <alignment horizontal="left" vertical="top" wrapText="1"/>
    </xf>
    <xf numFmtId="14" fontId="4" fillId="2" borderId="17" xfId="0" applyNumberFormat="1" applyFont="1" applyFill="1" applyBorder="1" applyAlignment="1" applyProtection="1">
      <alignment horizontal="left"/>
      <protection locked="0"/>
    </xf>
    <xf numFmtId="14" fontId="4" fillId="2" borderId="16" xfId="0" applyNumberFormat="1" applyFont="1" applyFill="1" applyBorder="1" applyAlignment="1" applyProtection="1">
      <alignment horizontal="left"/>
      <protection locked="0"/>
    </xf>
    <xf numFmtId="39" fontId="6" fillId="0" borderId="52" xfId="0" applyNumberFormat="1" applyFont="1" applyBorder="1" applyAlignment="1">
      <alignment horizontal="right" vertical="center" wrapText="1"/>
    </xf>
    <xf numFmtId="39" fontId="6" fillId="0" borderId="5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2" fillId="4" borderId="26" xfId="0" applyFont="1" applyFill="1" applyBorder="1" applyAlignment="1">
      <alignment horizontal="left" wrapText="1"/>
    </xf>
    <xf numFmtId="0" fontId="20" fillId="0" borderId="7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3" fillId="5" borderId="0" xfId="3" applyFont="1" applyFill="1" applyAlignment="1">
      <alignment horizontal="left" wrapText="1"/>
    </xf>
    <xf numFmtId="14" fontId="4" fillId="8" borderId="17" xfId="0" applyNumberFormat="1" applyFont="1" applyFill="1" applyBorder="1" applyAlignment="1" applyProtection="1">
      <alignment horizontal="left"/>
      <protection locked="0"/>
    </xf>
    <xf numFmtId="14" fontId="4" fillId="8" borderId="16" xfId="0" applyNumberFormat="1" applyFont="1" applyFill="1" applyBorder="1" applyAlignment="1" applyProtection="1">
      <alignment horizontal="left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19" xfId="0" applyFont="1" applyFill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181" fontId="2" fillId="0" borderId="0" xfId="0" applyNumberFormat="1" applyFont="1" applyAlignment="1">
      <alignment horizontal="left"/>
    </xf>
    <xf numFmtId="40" fontId="2" fillId="8" borderId="61" xfId="1" applyFont="1" applyFill="1" applyBorder="1" applyAlignment="1" applyProtection="1">
      <alignment horizontal="right"/>
      <protection locked="0"/>
    </xf>
    <xf numFmtId="40" fontId="2" fillId="8" borderId="58" xfId="1" applyFont="1" applyFill="1" applyBorder="1" applyAlignment="1" applyProtection="1">
      <alignment horizontal="right"/>
      <protection locked="0"/>
    </xf>
    <xf numFmtId="40" fontId="2" fillId="0" borderId="0" xfId="1" applyFont="1" applyFill="1" applyBorder="1" applyAlignment="1" applyProtection="1">
      <alignment horizontal="left"/>
      <protection locked="0"/>
    </xf>
    <xf numFmtId="0" fontId="2" fillId="8" borderId="1" xfId="0" applyFont="1" applyFill="1" applyBorder="1" applyAlignment="1" applyProtection="1">
      <alignment horizontal="left"/>
      <protection locked="0"/>
    </xf>
    <xf numFmtId="0" fontId="2" fillId="8" borderId="61" xfId="0" applyFont="1" applyFill="1" applyBorder="1" applyAlignment="1" applyProtection="1">
      <alignment horizontal="left"/>
      <protection locked="0"/>
    </xf>
    <xf numFmtId="0" fontId="24" fillId="8" borderId="0" xfId="0" applyFont="1" applyFill="1" applyAlignment="1">
      <alignment horizontal="left"/>
    </xf>
    <xf numFmtId="0" fontId="25" fillId="8" borderId="0" xfId="0" applyFont="1" applyFill="1" applyAlignment="1">
      <alignment horizontal="left"/>
    </xf>
    <xf numFmtId="0" fontId="2" fillId="8" borderId="0" xfId="0" applyFont="1" applyFill="1" applyAlignment="1" applyProtection="1">
      <alignment horizontal="left"/>
      <protection locked="0"/>
    </xf>
    <xf numFmtId="9" fontId="2" fillId="8" borderId="0" xfId="2" applyFont="1" applyFill="1" applyAlignment="1">
      <alignment horizontal="left"/>
    </xf>
    <xf numFmtId="0" fontId="2" fillId="8" borderId="0" xfId="0" applyFon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169" fontId="2" fillId="8" borderId="0" xfId="0" applyNumberFormat="1" applyFont="1" applyFill="1" applyAlignment="1">
      <alignment horizontal="left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176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</cellXfs>
  <cellStyles count="5">
    <cellStyle name="Komma" xfId="1" builtinId="3"/>
    <cellStyle name="Link" xfId="3" builtinId="8"/>
    <cellStyle name="PrintWhite" xfId="4" xr:uid="{00000000-0005-0000-0000-000002000000}"/>
    <cellStyle name="Prozent" xfId="2" builtinId="5"/>
    <cellStyle name="Standard" xfId="0" builtinId="0"/>
  </cellStyles>
  <dxfs count="51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BD"/>
      <color rgb="FFE97FA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32</xdr:row>
      <xdr:rowOff>156476</xdr:rowOff>
    </xdr:from>
    <xdr:to>
      <xdr:col>5</xdr:col>
      <xdr:colOff>553417</xdr:colOff>
      <xdr:row>36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8052701"/>
          <a:ext cx="3401391" cy="891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171447</xdr:colOff>
      <xdr:row>10</xdr:row>
      <xdr:rowOff>152399</xdr:rowOff>
    </xdr:from>
    <xdr:to>
      <xdr:col>16</xdr:col>
      <xdr:colOff>876300</xdr:colOff>
      <xdr:row>16</xdr:row>
      <xdr:rowOff>142874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1563347" y="1600199"/>
          <a:ext cx="3162303" cy="981075"/>
          <a:chOff x="11269988" y="1600199"/>
          <a:chExt cx="3074663" cy="981075"/>
        </a:xfrm>
      </xdr:grpSpPr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hteckiger Pfeil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1391900" y="1619250"/>
          <a:ext cx="3162303" cy="981075"/>
          <a:chOff x="11269988" y="1600199"/>
          <a:chExt cx="3074663" cy="981075"/>
        </a:xfrm>
      </xdr:grpSpPr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echteckiger Pfeil 3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11391900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11391900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11391900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11391900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1391900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11391900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11391900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28575</xdr:rowOff>
        </xdr:from>
        <xdr:to>
          <xdr:col>0</xdr:col>
          <xdr:colOff>190500</xdr:colOff>
          <xdr:row>47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A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180975</xdr:rowOff>
        </xdr:from>
        <xdr:to>
          <xdr:col>0</xdr:col>
          <xdr:colOff>285750</xdr:colOff>
          <xdr:row>47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A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4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90774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28575</xdr:rowOff>
        </xdr:from>
        <xdr:to>
          <xdr:col>0</xdr:col>
          <xdr:colOff>190500</xdr:colOff>
          <xdr:row>47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A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180975</xdr:rowOff>
        </xdr:from>
        <xdr:to>
          <xdr:col>0</xdr:col>
          <xdr:colOff>285750</xdr:colOff>
          <xdr:row>47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A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</xdr:colOff>
      <xdr:row>0</xdr:row>
      <xdr:rowOff>19050</xdr:rowOff>
    </xdr:from>
    <xdr:to>
      <xdr:col>3</xdr:col>
      <xdr:colOff>152400</xdr:colOff>
      <xdr:row>4</xdr:row>
      <xdr:rowOff>1903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" y="19050"/>
          <a:ext cx="2432958" cy="6591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4826000" y="58023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rticipa.ch/fr/modele-bernois/projet-pilote/choix-des-fournisseurs-1/personnel-dassistance/" TargetMode="External"/><Relationship Id="rId2" Type="http://schemas.openxmlformats.org/officeDocument/2006/relationships/hyperlink" Target="mailto:info@bernermodell.ch" TargetMode="External"/><Relationship Id="rId1" Type="http://schemas.openxmlformats.org/officeDocument/2006/relationships/hyperlink" Target="http://www.assistme.ch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zoomScaleNormal="100" workbookViewId="0">
      <selection activeCell="K1" sqref="K1"/>
    </sheetView>
  </sheetViews>
  <sheetFormatPr baseColWidth="10" defaultColWidth="11.42578125" defaultRowHeight="18" customHeight="1" x14ac:dyDescent="0.2"/>
  <cols>
    <col min="1" max="1" width="2.5703125" style="335" customWidth="1"/>
    <col min="2" max="3" width="12.7109375" style="335" customWidth="1"/>
    <col min="4" max="4" width="5" style="335" customWidth="1"/>
    <col min="5" max="10" width="12.7109375" style="335" customWidth="1"/>
    <col min="11" max="11" width="19.7109375" style="335" customWidth="1"/>
    <col min="12" max="16384" width="11.42578125" style="335"/>
  </cols>
  <sheetData>
    <row r="1" spans="1:11" s="384" customFormat="1" ht="21" customHeight="1" x14ac:dyDescent="0.2">
      <c r="A1" s="359" t="s">
        <v>0</v>
      </c>
    </row>
    <row r="3" spans="1:11" ht="18" customHeight="1" x14ac:dyDescent="0.2">
      <c r="A3" s="340" t="s">
        <v>1</v>
      </c>
      <c r="B3" s="341"/>
      <c r="C3" s="342"/>
      <c r="D3" s="342"/>
      <c r="E3" s="342"/>
      <c r="F3" s="342"/>
      <c r="G3" s="342"/>
      <c r="H3" s="342"/>
      <c r="I3" s="342"/>
      <c r="J3" s="342"/>
      <c r="K3" s="343"/>
    </row>
    <row r="4" spans="1:11" ht="75" customHeight="1" x14ac:dyDescent="0.2">
      <c r="A4" s="344"/>
      <c r="B4" s="438" t="s">
        <v>2</v>
      </c>
      <c r="C4" s="438"/>
      <c r="D4" s="438"/>
      <c r="E4" s="438"/>
      <c r="F4" s="438"/>
      <c r="G4" s="438"/>
      <c r="H4" s="438"/>
      <c r="I4" s="438"/>
      <c r="J4" s="438"/>
      <c r="K4" s="439"/>
    </row>
    <row r="5" spans="1:11" ht="18" customHeight="1" x14ac:dyDescent="0.2">
      <c r="A5" s="344"/>
      <c r="B5" s="335" t="s">
        <v>3</v>
      </c>
      <c r="E5" s="215"/>
      <c r="F5" s="353" t="s">
        <v>4</v>
      </c>
      <c r="G5" s="441" t="s">
        <v>5</v>
      </c>
      <c r="H5" s="441"/>
      <c r="I5" s="441"/>
      <c r="J5" s="441"/>
      <c r="K5" s="442"/>
    </row>
    <row r="6" spans="1:11" ht="12.75" customHeight="1" x14ac:dyDescent="0.2">
      <c r="A6" s="344"/>
      <c r="F6" s="353"/>
      <c r="G6" s="440"/>
      <c r="H6" s="440"/>
      <c r="I6" s="440"/>
      <c r="J6" s="440"/>
      <c r="K6" s="345"/>
    </row>
    <row r="7" spans="1:11" ht="18" customHeight="1" x14ac:dyDescent="0.2">
      <c r="A7" s="344"/>
      <c r="B7" s="337"/>
      <c r="C7" s="335" t="s">
        <v>6</v>
      </c>
      <c r="K7" s="345"/>
    </row>
    <row r="8" spans="1:11" ht="7.5" customHeight="1" x14ac:dyDescent="0.2">
      <c r="A8" s="344"/>
      <c r="K8" s="345"/>
    </row>
    <row r="9" spans="1:11" ht="18" customHeight="1" x14ac:dyDescent="0.2">
      <c r="A9" s="339"/>
      <c r="B9" s="438" t="s">
        <v>7</v>
      </c>
      <c r="C9" s="438"/>
      <c r="D9" s="438"/>
      <c r="E9" s="438"/>
      <c r="F9" s="438"/>
      <c r="G9" s="438"/>
      <c r="H9" s="438"/>
      <c r="I9" s="438"/>
      <c r="J9" s="438"/>
      <c r="K9" s="439"/>
    </row>
    <row r="10" spans="1:11" ht="18" customHeight="1" x14ac:dyDescent="0.2">
      <c r="A10" s="339"/>
      <c r="B10" s="438"/>
      <c r="C10" s="438"/>
      <c r="D10" s="438"/>
      <c r="E10" s="438"/>
      <c r="F10" s="438"/>
      <c r="G10" s="438"/>
      <c r="H10" s="438"/>
      <c r="I10" s="438"/>
      <c r="J10" s="438"/>
      <c r="K10" s="439"/>
    </row>
    <row r="11" spans="1:11" ht="28.5" customHeight="1" x14ac:dyDescent="0.2">
      <c r="A11" s="339"/>
      <c r="B11" s="438" t="s">
        <v>8</v>
      </c>
      <c r="C11" s="438"/>
      <c r="D11" s="438"/>
      <c r="E11" s="438"/>
      <c r="F11" s="438"/>
      <c r="G11" s="438"/>
      <c r="H11" s="438"/>
      <c r="I11" s="438"/>
      <c r="J11" s="438"/>
      <c r="K11" s="439"/>
    </row>
    <row r="12" spans="1:11" ht="18" customHeight="1" x14ac:dyDescent="0.2">
      <c r="A12" s="344"/>
      <c r="B12" s="338" t="s">
        <v>9</v>
      </c>
      <c r="C12" s="372" t="s">
        <v>10</v>
      </c>
      <c r="D12" s="373"/>
      <c r="E12" s="335" t="s">
        <v>11</v>
      </c>
      <c r="F12" s="346"/>
      <c r="K12" s="345"/>
    </row>
    <row r="13" spans="1:11" ht="9" customHeight="1" x14ac:dyDescent="0.2">
      <c r="A13" s="347"/>
      <c r="B13" s="348"/>
      <c r="C13" s="348"/>
      <c r="D13" s="348"/>
      <c r="E13" s="348"/>
      <c r="F13" s="348"/>
      <c r="G13" s="348"/>
      <c r="H13" s="348"/>
      <c r="I13" s="348"/>
      <c r="J13" s="348"/>
      <c r="K13" s="350"/>
    </row>
    <row r="14" spans="1:11" ht="18" customHeight="1" x14ac:dyDescent="0.2">
      <c r="F14" s="336"/>
    </row>
    <row r="15" spans="1:11" ht="18" customHeight="1" x14ac:dyDescent="0.2">
      <c r="A15" s="340" t="s">
        <v>12</v>
      </c>
      <c r="B15" s="342"/>
      <c r="C15" s="342"/>
      <c r="D15" s="342"/>
      <c r="E15" s="342"/>
      <c r="F15" s="342"/>
      <c r="G15" s="342"/>
      <c r="H15" s="342"/>
      <c r="I15" s="387" t="s">
        <v>13</v>
      </c>
      <c r="J15" s="342"/>
      <c r="K15" s="343"/>
    </row>
    <row r="16" spans="1:11" ht="18" customHeight="1" x14ac:dyDescent="0.2">
      <c r="A16" s="344"/>
      <c r="B16" s="335" t="s">
        <v>14</v>
      </c>
      <c r="F16" s="346"/>
      <c r="K16" s="345"/>
    </row>
    <row r="17" spans="1:11" ht="18" customHeight="1" x14ac:dyDescent="0.2">
      <c r="A17" s="344"/>
      <c r="B17" s="335" t="s">
        <v>15</v>
      </c>
      <c r="I17" s="386" t="s">
        <v>16</v>
      </c>
      <c r="K17" s="345"/>
    </row>
    <row r="18" spans="1:11" ht="18" customHeight="1" x14ac:dyDescent="0.2">
      <c r="A18" s="344"/>
      <c r="B18" s="335" t="s">
        <v>17</v>
      </c>
      <c r="I18" s="386" t="s">
        <v>18</v>
      </c>
      <c r="K18" s="345"/>
    </row>
    <row r="19" spans="1:11" ht="18" customHeight="1" x14ac:dyDescent="0.2">
      <c r="A19" s="344"/>
      <c r="B19" s="335" t="s">
        <v>19</v>
      </c>
      <c r="I19" s="386" t="s">
        <v>20</v>
      </c>
      <c r="K19" s="345"/>
    </row>
    <row r="20" spans="1:11" ht="18" customHeight="1" x14ac:dyDescent="0.2">
      <c r="A20" s="344"/>
      <c r="B20" s="335" t="s">
        <v>21</v>
      </c>
      <c r="I20" s="386" t="s">
        <v>22</v>
      </c>
      <c r="K20" s="345"/>
    </row>
    <row r="21" spans="1:11" ht="18" customHeight="1" x14ac:dyDescent="0.2">
      <c r="A21" s="347"/>
      <c r="B21" s="348" t="s">
        <v>23</v>
      </c>
      <c r="C21" s="348"/>
      <c r="D21" s="348"/>
      <c r="E21" s="348"/>
      <c r="F21" s="348"/>
      <c r="G21" s="348"/>
      <c r="H21" s="348"/>
      <c r="I21" s="351"/>
      <c r="J21" s="348"/>
      <c r="K21" s="350"/>
    </row>
    <row r="23" spans="1:11" ht="18" customHeight="1" x14ac:dyDescent="0.2">
      <c r="A23" s="340" t="s">
        <v>24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ht="18" customHeight="1" x14ac:dyDescent="0.2">
      <c r="A24" s="344"/>
      <c r="B24" s="335" t="s">
        <v>25</v>
      </c>
      <c r="K24" s="345"/>
    </row>
    <row r="25" spans="1:11" ht="18" customHeight="1" x14ac:dyDescent="0.2">
      <c r="A25" s="344"/>
      <c r="B25" s="374" t="s">
        <v>26</v>
      </c>
      <c r="K25" s="345"/>
    </row>
    <row r="26" spans="1:11" ht="18" customHeight="1" x14ac:dyDescent="0.2">
      <c r="A26" s="344"/>
      <c r="C26" s="374" t="s">
        <v>27</v>
      </c>
      <c r="K26" s="345"/>
    </row>
    <row r="27" spans="1:11" ht="18" customHeight="1" x14ac:dyDescent="0.2">
      <c r="A27" s="344"/>
      <c r="C27" s="374" t="s">
        <v>28</v>
      </c>
      <c r="K27" s="345"/>
    </row>
    <row r="28" spans="1:11" ht="18" customHeight="1" x14ac:dyDescent="0.2">
      <c r="A28" s="344"/>
      <c r="C28" s="374" t="s">
        <v>29</v>
      </c>
      <c r="K28" s="345"/>
    </row>
    <row r="29" spans="1:11" ht="18" customHeight="1" x14ac:dyDescent="0.2">
      <c r="A29" s="347"/>
      <c r="B29" s="352" t="s">
        <v>30</v>
      </c>
      <c r="C29" s="348"/>
      <c r="D29" s="348"/>
      <c r="E29" s="348"/>
      <c r="F29" s="348"/>
      <c r="G29" s="348"/>
      <c r="H29" s="348"/>
      <c r="I29" s="351" t="s">
        <v>31</v>
      </c>
      <c r="J29" s="348"/>
      <c r="K29" s="350"/>
    </row>
    <row r="31" spans="1:11" ht="18" customHeight="1" x14ac:dyDescent="0.2">
      <c r="A31" s="340" t="s">
        <v>32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ht="18" customHeight="1" x14ac:dyDescent="0.2">
      <c r="A32" s="344"/>
      <c r="B32" s="438" t="s">
        <v>33</v>
      </c>
      <c r="C32" s="438"/>
      <c r="D32" s="438"/>
      <c r="E32" s="438"/>
      <c r="F32" s="438"/>
      <c r="G32" s="438"/>
      <c r="H32" s="438"/>
      <c r="I32" s="438"/>
      <c r="J32" s="438"/>
      <c r="K32" s="439"/>
    </row>
    <row r="33" spans="1:11" ht="18" customHeight="1" x14ac:dyDescent="0.2">
      <c r="A33" s="344"/>
      <c r="B33" s="438"/>
      <c r="C33" s="438"/>
      <c r="D33" s="438"/>
      <c r="E33" s="438"/>
      <c r="F33" s="438"/>
      <c r="G33" s="438"/>
      <c r="H33" s="438"/>
      <c r="I33" s="438"/>
      <c r="J33" s="438"/>
      <c r="K33" s="439"/>
    </row>
    <row r="34" spans="1:11" ht="18" customHeight="1" x14ac:dyDescent="0.2">
      <c r="A34" s="344"/>
      <c r="B34" s="215"/>
      <c r="C34" s="215"/>
      <c r="D34" s="215"/>
      <c r="E34" s="215"/>
      <c r="F34" s="353" t="s">
        <v>4</v>
      </c>
      <c r="G34" s="354" t="s">
        <v>34</v>
      </c>
      <c r="H34" s="215"/>
      <c r="K34" s="345"/>
    </row>
    <row r="35" spans="1:11" ht="18" customHeight="1" x14ac:dyDescent="0.2">
      <c r="A35" s="344"/>
      <c r="B35" s="215"/>
      <c r="C35" s="215"/>
      <c r="D35" s="215"/>
      <c r="E35" s="215"/>
      <c r="G35" s="215"/>
      <c r="H35" s="215"/>
      <c r="K35" s="345"/>
    </row>
    <row r="36" spans="1:11" ht="18" customHeight="1" x14ac:dyDescent="0.2">
      <c r="A36" s="344"/>
      <c r="K36" s="345"/>
    </row>
    <row r="37" spans="1:11" ht="18" customHeight="1" x14ac:dyDescent="0.2">
      <c r="A37" s="347"/>
      <c r="B37" s="375"/>
      <c r="C37" s="348"/>
      <c r="D37" s="348"/>
      <c r="E37" s="348"/>
      <c r="F37" s="348"/>
      <c r="G37" s="348"/>
      <c r="H37" s="348"/>
      <c r="I37" s="348"/>
      <c r="J37" s="348"/>
      <c r="K37" s="350"/>
    </row>
    <row r="38" spans="1:11" ht="18" customHeight="1" x14ac:dyDescent="0.2">
      <c r="A38" s="376"/>
      <c r="B38" s="377"/>
      <c r="C38" s="376"/>
      <c r="D38" s="376"/>
      <c r="E38" s="376"/>
      <c r="F38" s="376"/>
      <c r="G38" s="376"/>
      <c r="H38" s="376"/>
      <c r="I38" s="376"/>
      <c r="J38" s="376"/>
      <c r="K38" s="376"/>
    </row>
    <row r="39" spans="1:11" ht="18" customHeight="1" x14ac:dyDescent="0.2">
      <c r="A39" s="340" t="s">
        <v>35</v>
      </c>
      <c r="B39" s="341"/>
      <c r="C39" s="342"/>
      <c r="D39" s="342"/>
      <c r="E39" s="342"/>
      <c r="F39" s="342"/>
      <c r="G39" s="342"/>
      <c r="H39" s="342"/>
      <c r="I39" s="342"/>
      <c r="J39" s="342"/>
      <c r="K39" s="343"/>
    </row>
    <row r="40" spans="1:11" ht="18" customHeight="1" x14ac:dyDescent="0.2">
      <c r="A40" s="378" t="s">
        <v>36</v>
      </c>
      <c r="B40" s="335" t="s">
        <v>37</v>
      </c>
      <c r="K40" s="345"/>
    </row>
    <row r="41" spans="1:11" ht="18" customHeight="1" x14ac:dyDescent="0.2">
      <c r="A41" s="379"/>
      <c r="B41" s="335" t="s">
        <v>38</v>
      </c>
      <c r="K41" s="345"/>
    </row>
    <row r="42" spans="1:11" ht="18" customHeight="1" x14ac:dyDescent="0.2">
      <c r="A42" s="380" t="s">
        <v>36</v>
      </c>
      <c r="B42" s="348" t="s">
        <v>39</v>
      </c>
      <c r="C42" s="348"/>
      <c r="D42" s="348"/>
      <c r="E42" s="348"/>
      <c r="F42" s="348"/>
      <c r="G42" s="348"/>
      <c r="H42" s="348"/>
      <c r="I42" s="348"/>
      <c r="J42" s="357"/>
      <c r="K42" s="385"/>
    </row>
    <row r="44" spans="1:11" ht="18" customHeight="1" x14ac:dyDescent="0.2">
      <c r="A44" s="340" t="s">
        <v>40</v>
      </c>
      <c r="B44" s="341"/>
      <c r="C44" s="342"/>
      <c r="D44" s="342"/>
      <c r="E44" s="342"/>
      <c r="F44" s="342"/>
      <c r="G44" s="342"/>
      <c r="H44" s="342"/>
      <c r="I44" s="342"/>
      <c r="J44" s="342"/>
      <c r="K44" s="343"/>
    </row>
    <row r="45" spans="1:11" ht="18" customHeight="1" x14ac:dyDescent="0.2">
      <c r="A45" s="355"/>
      <c r="B45" s="436" t="s">
        <v>41</v>
      </c>
      <c r="C45" s="436"/>
      <c r="D45" s="436"/>
      <c r="E45" s="436"/>
      <c r="F45" s="436"/>
      <c r="G45" s="436"/>
      <c r="H45" s="436"/>
      <c r="I45" s="436"/>
      <c r="J45" s="381"/>
      <c r="K45" s="382"/>
    </row>
    <row r="46" spans="1:11" ht="18" customHeight="1" x14ac:dyDescent="0.2">
      <c r="A46" s="356"/>
      <c r="B46" s="437"/>
      <c r="C46" s="437"/>
      <c r="D46" s="437"/>
      <c r="E46" s="437"/>
      <c r="F46" s="437"/>
      <c r="G46" s="437"/>
      <c r="H46" s="437"/>
      <c r="I46" s="437"/>
      <c r="J46" s="383"/>
      <c r="K46" s="385"/>
    </row>
    <row r="48" spans="1:11" ht="18" customHeight="1" x14ac:dyDescent="0.2">
      <c r="A48" s="340" t="s">
        <v>42</v>
      </c>
      <c r="B48" s="341"/>
      <c r="C48" s="342"/>
      <c r="D48" s="342"/>
      <c r="E48" s="342"/>
      <c r="F48" s="342"/>
      <c r="G48" s="342"/>
      <c r="H48" s="342"/>
      <c r="I48" s="342"/>
      <c r="J48" s="342"/>
      <c r="K48" s="343"/>
    </row>
    <row r="49" spans="1:11" ht="18" customHeight="1" x14ac:dyDescent="0.2">
      <c r="A49" s="344"/>
      <c r="B49" s="335" t="s">
        <v>43</v>
      </c>
      <c r="C49" s="215"/>
      <c r="D49" s="215"/>
      <c r="E49" s="215"/>
      <c r="F49" s="215"/>
      <c r="G49" s="215"/>
      <c r="H49" s="215"/>
      <c r="K49" s="345"/>
    </row>
    <row r="50" spans="1:11" ht="18" customHeight="1" x14ac:dyDescent="0.2">
      <c r="A50" s="347"/>
      <c r="B50" s="348" t="s">
        <v>44</v>
      </c>
      <c r="C50" s="349" t="s">
        <v>45</v>
      </c>
      <c r="D50" s="348"/>
      <c r="E50" s="358"/>
      <c r="F50" s="348"/>
      <c r="G50" s="358"/>
      <c r="H50" s="358"/>
      <c r="I50" s="348"/>
      <c r="J50" s="348"/>
      <c r="K50" s="350"/>
    </row>
  </sheetData>
  <sheetProtection algorithmName="SHA-512" hashValue="S44p3PmR39OgHXfXKrqX2PfMjM2oROL5y2YGuFuW6BTd5QcgsT3KK4Y29LwyDnpNntwJVIeZbmy50JEqk+vEwA==" saltValue="xE+rOB/MuMru45MvFL2QIg==" spinCount="100000" sheet="1" objects="1" scenarios="1"/>
  <mergeCells count="7">
    <mergeCell ref="B45:I46"/>
    <mergeCell ref="B4:K4"/>
    <mergeCell ref="B32:K33"/>
    <mergeCell ref="B9:K10"/>
    <mergeCell ref="B11:K11"/>
    <mergeCell ref="G6:J6"/>
    <mergeCell ref="G5:K5"/>
  </mergeCells>
  <hyperlinks>
    <hyperlink ref="G34" r:id="rId1" xr:uid="{A55CB967-AA24-49E5-AC26-58C0463AE532}"/>
    <hyperlink ref="C50" r:id="rId2" display="info@bernermodell.ch " xr:uid="{7E509D49-3627-4765-B0F6-3D2E4BB572E4}"/>
    <hyperlink ref="G5" r:id="rId3" display="Guide Programme de salaire" xr:uid="{466D191B-F065-4A96-B6EA-9ECB9CB1C353}"/>
  </hyperlinks>
  <pageMargins left="0.70866141732283472" right="0.39370078740157483" top="1.1811023622047245" bottom="0.78740157480314965" header="0.31496062992125984" footer="0.31496062992125984"/>
  <pageSetup paperSize="9" scale="68" orientation="portrait" r:id="rId4"/>
  <headerFooter>
    <oddHeader>&amp;R&amp;"Arial,Standard"Koordinationsstelle&amp;"Arial,Fett"
Berner Modell &amp;"Arial,Standard"- freie Lebensgestaltung von Menschen mit Behinderungen
HelpLine 031 300 33 70 / info@bernermodell.ch</oddHeader>
    <oddFooter>&amp;L&amp;F&amp;R23.10.2020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BD"/>
    <pageSetUpPr fitToPage="1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19.7109375" style="1" customWidth="1"/>
    <col min="10" max="10" width="4.5703125" style="1" bestFit="1" customWidth="1"/>
    <col min="11" max="16" width="12.28515625" style="1" customWidth="1"/>
    <col min="17" max="17" width="13.28515625" style="1" customWidth="1"/>
    <col min="18" max="18" width="5" style="1" customWidth="1"/>
    <col min="19" max="19" width="28.42578125" style="1" customWidth="1"/>
    <col min="20" max="20" width="20.42578125" style="1" bestFit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hidden="1" customWidth="1"/>
    <col min="38" max="16384" width="11.42578125" style="1"/>
  </cols>
  <sheetData>
    <row r="1" spans="1:35" x14ac:dyDescent="0.2">
      <c r="A1" s="443" t="s">
        <v>46</v>
      </c>
      <c r="B1" s="443"/>
      <c r="C1" s="443"/>
      <c r="D1" s="453">
        <v>45657</v>
      </c>
      <c r="E1" s="453"/>
      <c r="F1" s="453"/>
      <c r="G1" s="444" t="str">
        <f>IF($W45&gt;4,"Attention erreur!",IF($W$45&gt;0,"Attention remarque!",""))</f>
        <v/>
      </c>
      <c r="H1" s="444"/>
      <c r="I1" s="460" t="str">
        <f>A1</f>
        <v>Nom/Prénom employeur</v>
      </c>
      <c r="J1" s="460"/>
      <c r="K1" s="460"/>
      <c r="L1" s="453">
        <f>D1</f>
        <v>45657</v>
      </c>
      <c r="M1" s="453"/>
      <c r="N1" s="453"/>
      <c r="O1" s="453"/>
      <c r="P1" s="444" t="str">
        <f>IF($W45&gt;4,"Attention erreur!",IF($W$45&gt;0,"Attention remarque!",""))</f>
        <v/>
      </c>
      <c r="Q1" s="444"/>
      <c r="S1" s="246" t="s">
        <v>47</v>
      </c>
      <c r="T1" s="260"/>
      <c r="U1" s="361" t="s">
        <v>48</v>
      </c>
      <c r="V1" s="362" t="s">
        <v>49</v>
      </c>
      <c r="W1" s="68"/>
      <c r="AE1" s="1"/>
    </row>
    <row r="2" spans="1:35" x14ac:dyDescent="0.2">
      <c r="A2" s="443" t="s">
        <v>50</v>
      </c>
      <c r="B2" s="443"/>
      <c r="C2" s="443"/>
      <c r="D2" s="453"/>
      <c r="E2" s="453"/>
      <c r="F2" s="453"/>
      <c r="G2" s="444"/>
      <c r="H2" s="444"/>
      <c r="I2" s="460" t="str">
        <f>A2</f>
        <v>Lieu employeur</v>
      </c>
      <c r="J2" s="460"/>
      <c r="K2" s="460"/>
      <c r="L2" s="453"/>
      <c r="M2" s="453"/>
      <c r="N2" s="453"/>
      <c r="O2" s="453"/>
      <c r="P2" s="444"/>
      <c r="Q2" s="444"/>
      <c r="S2" s="249" t="s">
        <v>51</v>
      </c>
      <c r="T2" s="2"/>
      <c r="U2" s="218">
        <f>IF(C16="Salaire horaire",(M8*M7*52)+(M13*M12*52),(M8+Y13)*12)</f>
        <v>0</v>
      </c>
      <c r="V2" s="261"/>
      <c r="W2" s="68"/>
      <c r="Y2" s="466" t="s">
        <v>52</v>
      </c>
      <c r="AA2" s="466" t="s">
        <v>53</v>
      </c>
      <c r="AE2" s="1"/>
    </row>
    <row r="3" spans="1:35" ht="5.0999999999999996" customHeight="1" x14ac:dyDescent="0.2">
      <c r="G3" s="444"/>
      <c r="H3" s="444"/>
      <c r="P3" s="444"/>
      <c r="Q3" s="444"/>
      <c r="S3" s="254"/>
      <c r="V3" s="250"/>
      <c r="W3" s="68"/>
      <c r="Y3" s="466"/>
      <c r="AA3" s="466"/>
      <c r="AE3" s="1"/>
    </row>
    <row r="4" spans="1:35" ht="15.75" thickBot="1" x14ac:dyDescent="0.3">
      <c r="A4" s="41" t="s">
        <v>54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0" t="s">
        <v>55</v>
      </c>
      <c r="J4" s="360"/>
      <c r="K4" s="360"/>
      <c r="L4" s="360"/>
      <c r="M4" s="42"/>
      <c r="N4" s="42"/>
      <c r="O4" s="42"/>
      <c r="P4" s="42"/>
      <c r="Q4" s="51" t="str">
        <f>CONCATENATE($C$6," ",$C$7)</f>
        <v xml:space="preserve"> </v>
      </c>
      <c r="S4" s="454" t="s">
        <v>56</v>
      </c>
      <c r="T4" s="455"/>
      <c r="U4" s="262">
        <f>((U2-(U2*SUM(T8:T14,T16,Y9)+(12*T15)))*Z14)</f>
        <v>0</v>
      </c>
      <c r="V4" s="263">
        <f>U4/365</f>
        <v>0</v>
      </c>
      <c r="W4" s="68"/>
      <c r="X4" s="464" t="s">
        <v>57</v>
      </c>
      <c r="Y4" s="466"/>
      <c r="Z4" s="464" t="s">
        <v>58</v>
      </c>
      <c r="AA4" s="466"/>
      <c r="AB4" s="467" t="s">
        <v>59</v>
      </c>
      <c r="AC4" s="468" t="s">
        <v>60</v>
      </c>
      <c r="AD4" s="465" t="s">
        <v>61</v>
      </c>
      <c r="AE4" s="1"/>
      <c r="AH4" s="464" t="s">
        <v>62</v>
      </c>
      <c r="AI4" s="464"/>
    </row>
    <row r="5" spans="1:35" ht="5.0999999999999996" customHeight="1" x14ac:dyDescent="0.2">
      <c r="X5" s="464"/>
      <c r="Y5" s="466"/>
      <c r="Z5" s="464"/>
      <c r="AA5" s="466"/>
      <c r="AB5" s="467"/>
      <c r="AC5" s="468"/>
      <c r="AD5" s="465"/>
      <c r="AE5" s="2"/>
      <c r="AF5" s="4"/>
      <c r="AG5" s="48"/>
      <c r="AH5" s="464"/>
      <c r="AI5" s="464"/>
    </row>
    <row r="6" spans="1:35" s="2" customFormat="1" ht="13.5" thickBot="1" x14ac:dyDescent="0.25">
      <c r="A6" s="2" t="s">
        <v>63</v>
      </c>
      <c r="C6" s="452"/>
      <c r="D6" s="452"/>
      <c r="E6" s="2" t="s">
        <v>64</v>
      </c>
      <c r="F6" s="445"/>
      <c r="G6" s="445"/>
      <c r="I6" s="6" t="s">
        <v>65</v>
      </c>
      <c r="N6" s="6" t="str">
        <f>IF(AND(C16="Salaire horaire",G11="oui"),"Calcul de l'indemnité les heures de garde","")</f>
        <v/>
      </c>
      <c r="W6" s="180"/>
      <c r="X6" s="2" t="s">
        <v>66</v>
      </c>
      <c r="Y6" s="2" t="s">
        <v>66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28" t="s">
        <v>66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67</v>
      </c>
      <c r="AG6" s="49"/>
      <c r="AH6" s="2" t="s">
        <v>66</v>
      </c>
    </row>
    <row r="7" spans="1:35" s="2" customFormat="1" x14ac:dyDescent="0.2">
      <c r="A7" s="2" t="s">
        <v>68</v>
      </c>
      <c r="C7" s="452"/>
      <c r="D7" s="452"/>
      <c r="E7" s="2" t="s">
        <v>69</v>
      </c>
      <c r="F7" s="445"/>
      <c r="G7" s="445"/>
      <c r="I7" s="2" t="str">
        <f>IF(C16="Salaire horaire",IF(G10="oui","Taux d'occupation I","Taux d'occupation"),IF(C16="Salaire mensuel","Taux d'occupation",""))</f>
        <v/>
      </c>
      <c r="L7" s="406"/>
      <c r="M7" s="371">
        <f>42*L7</f>
        <v>0</v>
      </c>
      <c r="N7" s="2" t="str">
        <f>IF(AND(C16="Salaire horaire",G11="oui"),"1 heure de garde =","")</f>
        <v/>
      </c>
      <c r="P7" s="304"/>
      <c r="Q7" s="2" t="str">
        <f>IF(AND(C16="Salaire horaire",G11="oui"),"du Sal.horaire","")</f>
        <v/>
      </c>
      <c r="S7" s="246" t="s">
        <v>70</v>
      </c>
      <c r="T7" s="247" t="s">
        <v>71</v>
      </c>
      <c r="U7" s="248"/>
      <c r="W7" s="1"/>
      <c r="X7" s="2" t="s">
        <v>72</v>
      </c>
      <c r="Y7" s="2" t="s">
        <v>73</v>
      </c>
      <c r="Z7" s="59" t="str">
        <f>IF(OR(G13="ordinaire",G13="à choisir"),"ordinaire","")</f>
        <v>ordinaire</v>
      </c>
      <c r="AA7" s="59"/>
      <c r="AB7" s="59" t="s">
        <v>74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75</v>
      </c>
      <c r="AG7" s="49">
        <f>IF(C16="Salaire horaire",(M7*52/12)*12*M8,(M8)*12)</f>
        <v>0</v>
      </c>
      <c r="AH7" s="2" t="s">
        <v>76</v>
      </c>
    </row>
    <row r="8" spans="1:35" s="2" customFormat="1" ht="12" customHeight="1" x14ac:dyDescent="0.2">
      <c r="A8" s="2" t="s">
        <v>77</v>
      </c>
      <c r="C8" s="452"/>
      <c r="D8" s="452"/>
      <c r="E8" s="2" t="s">
        <v>78</v>
      </c>
      <c r="F8" s="452"/>
      <c r="G8" s="452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5"/>
      <c r="S8" s="249" t="s">
        <v>79</v>
      </c>
      <c r="T8" s="251">
        <f>IF(F7="",0,IF(DATEDIF($F$7,D1,"Y")&lt;18,0,5.3%))</f>
        <v>0</v>
      </c>
      <c r="U8" s="250"/>
      <c r="W8" s="152"/>
      <c r="X8" s="2" t="s">
        <v>80</v>
      </c>
      <c r="Y8" s="59" t="s">
        <v>81</v>
      </c>
      <c r="Z8" s="59"/>
      <c r="AB8" s="59" t="s">
        <v>82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83</v>
      </c>
    </row>
    <row r="9" spans="1:35" s="2" customFormat="1" x14ac:dyDescent="0.2">
      <c r="A9" s="2" t="s">
        <v>84</v>
      </c>
      <c r="C9" s="452"/>
      <c r="D9" s="452"/>
      <c r="E9" s="2" t="s">
        <v>85</v>
      </c>
      <c r="F9" s="456" t="s">
        <v>66</v>
      </c>
      <c r="G9" s="456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3" t="str">
        <f>IF($C$16="Salaire horaire",M8/(1+L9)*L9,"")</f>
        <v/>
      </c>
      <c r="N9" s="6" t="str">
        <f>IF(C16="Salaire horaire","Conversion des engagements de nuit en heures","")</f>
        <v/>
      </c>
      <c r="S9" s="249" t="s">
        <v>86</v>
      </c>
      <c r="T9" s="251">
        <f>IF(DATEDIF($F$7,D1,"Y")&lt;18,0,IF(DATEDIF($F$7,C21,"Y")&gt;(IF($C$10="féminin",63,64)),0,1.1%))</f>
        <v>0</v>
      </c>
      <c r="U9" s="252"/>
      <c r="W9" s="181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87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88</v>
      </c>
      <c r="C10" s="405" t="s">
        <v>66</v>
      </c>
      <c r="E10" s="2" t="str">
        <f>IF(C16="Salaire horaire","Avez-vous 2 différents sal. horaire?","")</f>
        <v/>
      </c>
      <c r="G10" s="427"/>
      <c r="H10" s="168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4" t="str">
        <f>IF($C$16="Salaire horaire",M8-M9,"")</f>
        <v/>
      </c>
      <c r="N10" s="2" t="str">
        <f>IF(C16="Salaire horaire","1 nuit correspond à","")</f>
        <v/>
      </c>
      <c r="P10" s="264"/>
      <c r="Q10" s="2" t="str">
        <f>IF(C16="Salaire horaire","heures","")</f>
        <v/>
      </c>
      <c r="S10" s="249"/>
      <c r="T10" s="251"/>
      <c r="U10" s="252"/>
      <c r="W10" s="1"/>
      <c r="X10" s="6" t="s">
        <v>89</v>
      </c>
      <c r="Y10" s="6" t="s">
        <v>90</v>
      </c>
      <c r="Z10" s="64" t="s">
        <v>91</v>
      </c>
      <c r="AB10" s="59" t="s">
        <v>92</v>
      </c>
      <c r="AD10" s="59" t="e">
        <f>ROUND(M8/L7,0)</f>
        <v>#DIV/0!</v>
      </c>
    </row>
    <row r="11" spans="1:35" s="2" customFormat="1" ht="13.5" customHeight="1" x14ac:dyDescent="0.2">
      <c r="A11" s="2" t="s">
        <v>93</v>
      </c>
      <c r="C11" s="405"/>
      <c r="E11" s="2" t="s">
        <v>94</v>
      </c>
      <c r="G11" s="405" t="s">
        <v>66</v>
      </c>
      <c r="S11" s="249" t="s">
        <v>95</v>
      </c>
      <c r="T11" s="407"/>
      <c r="U11" s="253" t="s">
        <v>96</v>
      </c>
      <c r="W11" s="1"/>
      <c r="X11" s="2" t="s">
        <v>66</v>
      </c>
      <c r="Y11" s="2" t="str">
        <f>IF(C16="Salaire mensuel","oui","")</f>
        <v/>
      </c>
      <c r="Z11" s="179">
        <f>IF(G13="simplifiée",126.8%,0)</f>
        <v>0</v>
      </c>
      <c r="AB11" s="59" t="s">
        <v>97</v>
      </c>
      <c r="AD11" s="59"/>
    </row>
    <row r="12" spans="1:35" s="2" customFormat="1" ht="13.5" customHeight="1" x14ac:dyDescent="0.2">
      <c r="A12" s="2" t="s">
        <v>98</v>
      </c>
      <c r="C12" s="405"/>
      <c r="E12" s="2" t="s">
        <v>99</v>
      </c>
      <c r="G12" s="405" t="s">
        <v>66</v>
      </c>
      <c r="I12" s="2" t="str">
        <f>IF(G10="oui","Taux d'occupation II","")</f>
        <v/>
      </c>
      <c r="L12" s="217"/>
      <c r="M12" s="242">
        <f>42*L12</f>
        <v>0</v>
      </c>
      <c r="S12" s="249"/>
      <c r="T12" s="1"/>
      <c r="U12" s="250"/>
      <c r="W12" s="1"/>
      <c r="X12" s="2" t="s">
        <v>100</v>
      </c>
      <c r="Y12" s="2" t="str">
        <f>IF(C16="Salaire mensuel","non","")</f>
        <v/>
      </c>
      <c r="Z12" s="179">
        <f>IF(AND(G13="ordinaire",T15=0,T16=0),119.9%,0)</f>
        <v>0</v>
      </c>
      <c r="AA12" s="59"/>
      <c r="AB12" s="59" t="s">
        <v>101</v>
      </c>
      <c r="AC12" s="64" t="s">
        <v>102</v>
      </c>
      <c r="AD12" s="59"/>
    </row>
    <row r="13" spans="1:35" s="2" customFormat="1" ht="12.75" customHeight="1" x14ac:dyDescent="0.2">
      <c r="A13" s="2" t="s">
        <v>103</v>
      </c>
      <c r="C13" s="405"/>
      <c r="E13" s="2" t="s">
        <v>104</v>
      </c>
      <c r="G13" s="405" t="s">
        <v>66</v>
      </c>
      <c r="I13" s="5" t="str">
        <f>IF(G10="oui","Salaire horaire II (avec Suppl. vacances)","")</f>
        <v/>
      </c>
      <c r="L13" s="4"/>
      <c r="M13" s="245"/>
      <c r="S13" s="249" t="s">
        <v>105</v>
      </c>
      <c r="T13" s="408"/>
      <c r="U13" s="253" t="s">
        <v>96</v>
      </c>
      <c r="W13" s="68"/>
      <c r="X13" s="2" t="s">
        <v>106</v>
      </c>
      <c r="Y13" s="2">
        <f>IF(C17="oui",M8/12,0)</f>
        <v>0</v>
      </c>
      <c r="Z13" s="179">
        <f>IF(OR(T15&gt;0,T16&gt;0),129.2%,0)</f>
        <v>0</v>
      </c>
      <c r="AA13" s="59"/>
      <c r="AB13" s="59" t="s">
        <v>107</v>
      </c>
      <c r="AC13" s="59" t="s">
        <v>76</v>
      </c>
      <c r="AD13" s="59"/>
    </row>
    <row r="14" spans="1:35" s="2" customFormat="1" ht="12.75" customHeight="1" x14ac:dyDescent="0.2">
      <c r="A14" s="2" t="s">
        <v>108</v>
      </c>
      <c r="C14" s="409"/>
      <c r="E14" s="2" t="s">
        <v>109</v>
      </c>
      <c r="F14" s="452"/>
      <c r="G14" s="452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3" t="str">
        <f>IF(G10="oui",M13/(1+L14)*L14,"")</f>
        <v/>
      </c>
      <c r="S14" s="254"/>
      <c r="T14" s="1"/>
      <c r="U14" s="250"/>
      <c r="W14" s="68"/>
      <c r="Y14" s="151">
        <f>M8</f>
        <v>0</v>
      </c>
      <c r="Z14" s="179">
        <f>SUM(Z11:Z13)</f>
        <v>0</v>
      </c>
      <c r="AA14" s="59"/>
      <c r="AB14" s="58" t="s">
        <v>110</v>
      </c>
      <c r="AC14" s="59" t="s">
        <v>83</v>
      </c>
      <c r="AD14" s="59"/>
    </row>
    <row r="15" spans="1:35" s="2" customFormat="1" ht="12.75" customHeight="1" x14ac:dyDescent="0.2">
      <c r="A15" s="2" t="s">
        <v>111</v>
      </c>
      <c r="C15" s="409"/>
      <c r="E15" s="2" t="s">
        <v>112</v>
      </c>
      <c r="F15" s="452"/>
      <c r="G15" s="452"/>
      <c r="I15" s="5" t="str">
        <f>IF(G10="oui","Salaire horaire II (sans Suppl. vacances)","")</f>
        <v/>
      </c>
      <c r="M15" s="244" t="str">
        <f>IF(G10="oui",M13-M14,"")</f>
        <v/>
      </c>
      <c r="S15" s="249" t="s">
        <v>113</v>
      </c>
      <c r="T15" s="410"/>
      <c r="U15" s="255" t="s">
        <v>114</v>
      </c>
      <c r="W15" s="1"/>
      <c r="Y15" s="2">
        <f>SUM(Y13:Y14)</f>
        <v>0</v>
      </c>
      <c r="Z15" s="59"/>
      <c r="AA15" s="59"/>
      <c r="AB15" s="59" t="s">
        <v>115</v>
      </c>
      <c r="AD15" s="59"/>
    </row>
    <row r="16" spans="1:35" s="2" customFormat="1" ht="12.75" customHeight="1" thickBot="1" x14ac:dyDescent="0.25">
      <c r="A16" s="2" t="s">
        <v>116</v>
      </c>
      <c r="C16" s="405" t="s">
        <v>66</v>
      </c>
      <c r="E16" s="2" t="s">
        <v>117</v>
      </c>
      <c r="F16" s="452"/>
      <c r="G16" s="452"/>
      <c r="S16" s="256" t="s">
        <v>118</v>
      </c>
      <c r="T16" s="411"/>
      <c r="U16" s="257" t="s">
        <v>119</v>
      </c>
      <c r="W16" s="1"/>
      <c r="Z16" s="59"/>
      <c r="AA16" s="59"/>
      <c r="AB16" s="58" t="s">
        <v>120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27"/>
      <c r="D17" s="168" t="str">
        <f>IF(C17&gt;1,"",IF(A17="13ème salaire","à choisir",""))</f>
        <v/>
      </c>
      <c r="H17" s="167"/>
      <c r="W17" s="1"/>
      <c r="X17" s="59"/>
      <c r="Y17" s="59"/>
      <c r="Z17" s="59"/>
      <c r="AA17" s="59"/>
      <c r="AB17" s="59" t="s">
        <v>121</v>
      </c>
      <c r="AC17" s="59"/>
      <c r="AD17" s="59"/>
    </row>
    <row r="18" spans="1:37" s="2" customFormat="1" x14ac:dyDescent="0.2">
      <c r="H18" s="167"/>
      <c r="M18" s="167"/>
      <c r="S18" s="469" t="s">
        <v>122</v>
      </c>
      <c r="T18" s="470"/>
      <c r="U18" s="471"/>
      <c r="V18" s="334"/>
      <c r="X18" s="153"/>
      <c r="Y18" s="154"/>
      <c r="Z18" s="59"/>
      <c r="AA18" s="59"/>
      <c r="AB18" s="2" t="s">
        <v>123</v>
      </c>
      <c r="AD18" s="59"/>
      <c r="AE18" s="59"/>
    </row>
    <row r="19" spans="1:37" s="2" customFormat="1" ht="15" x14ac:dyDescent="0.25">
      <c r="A19" s="41" t="s">
        <v>124</v>
      </c>
      <c r="B19" s="41"/>
      <c r="C19" s="52"/>
      <c r="D19" s="52"/>
      <c r="E19" s="52"/>
      <c r="F19" s="52"/>
      <c r="G19" s="52"/>
      <c r="H19" s="52"/>
      <c r="I19" s="41" t="s">
        <v>124</v>
      </c>
      <c r="J19" s="41"/>
      <c r="K19" s="52"/>
      <c r="L19" s="52"/>
      <c r="M19" s="52"/>
      <c r="N19" s="52"/>
      <c r="O19" s="52"/>
      <c r="P19" s="52"/>
      <c r="Q19" s="52"/>
      <c r="S19" s="258"/>
      <c r="U19" s="259"/>
      <c r="X19" s="153"/>
      <c r="Y19" s="154"/>
      <c r="Z19" s="59"/>
      <c r="AA19" s="59"/>
      <c r="AB19" s="59" t="s">
        <v>125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2"/>
      <c r="U20" s="463"/>
      <c r="V20" s="404"/>
      <c r="X20" s="153"/>
      <c r="Y20" s="154"/>
      <c r="Z20" s="59"/>
      <c r="AA20" s="59"/>
      <c r="AB20" s="59"/>
      <c r="AD20" s="59"/>
      <c r="AE20" s="59"/>
    </row>
    <row r="21" spans="1:37" s="2" customFormat="1" ht="12" x14ac:dyDescent="0.2">
      <c r="A21" s="306">
        <f>D1</f>
        <v>45657</v>
      </c>
      <c r="B21" s="265"/>
      <c r="C21" s="82">
        <v>45292</v>
      </c>
      <c r="D21" s="82">
        <v>45323</v>
      </c>
      <c r="E21" s="82">
        <v>45352</v>
      </c>
      <c r="F21" s="82">
        <v>45383</v>
      </c>
      <c r="G21" s="82">
        <v>45413</v>
      </c>
      <c r="H21" s="69">
        <v>45444</v>
      </c>
      <c r="I21" s="306">
        <f t="shared" ref="I21:I52" si="0">A21</f>
        <v>45657</v>
      </c>
      <c r="J21" s="265"/>
      <c r="K21" s="82">
        <v>45474</v>
      </c>
      <c r="L21" s="82">
        <v>45505</v>
      </c>
      <c r="M21" s="82">
        <v>45536</v>
      </c>
      <c r="N21" s="82">
        <v>45566</v>
      </c>
      <c r="O21" s="82">
        <v>45597</v>
      </c>
      <c r="P21" s="69">
        <v>45627</v>
      </c>
      <c r="Q21" s="97" t="s">
        <v>126</v>
      </c>
      <c r="S21" s="461"/>
      <c r="T21" s="462"/>
      <c r="U21" s="463"/>
      <c r="V21" s="404"/>
      <c r="W21" s="2">
        <f>IF(S20="Hinweis: Wenn der AHV Freibetrag nicht überschritten wird, muss ein Lohnausweis erstellt werden!",1,IF(S20=0,0,5))</f>
        <v>0</v>
      </c>
      <c r="X21" s="153"/>
      <c r="Y21" s="154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07" t="str">
        <f>IF($C$16="Salaire horaire","",IF(C16="à choisir","","Salaire mensuel"))</f>
        <v/>
      </c>
      <c r="B22" s="266" t="str">
        <f>IF(A22="Salaire mensuel","CHF"," ")</f>
        <v xml:space="preserve"> </v>
      </c>
      <c r="C22" s="281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1">
        <f t="shared" si="1"/>
        <v>0</v>
      </c>
      <c r="E22" s="281">
        <f t="shared" si="1"/>
        <v>0</v>
      </c>
      <c r="F22" s="281">
        <f t="shared" si="1"/>
        <v>0</v>
      </c>
      <c r="G22" s="281">
        <f t="shared" si="1"/>
        <v>0</v>
      </c>
      <c r="H22" s="282">
        <f t="shared" si="1"/>
        <v>0</v>
      </c>
      <c r="I22" s="308" t="str">
        <f t="shared" si="0"/>
        <v/>
      </c>
      <c r="J22" s="266" t="str">
        <f>IF(I22="Salaire mensuel","CHF"," ")</f>
        <v xml:space="preserve"> </v>
      </c>
      <c r="K22" s="281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2">
        <f t="shared" si="2"/>
        <v>0</v>
      </c>
      <c r="Q22" s="298">
        <f t="shared" ref="Q22:Q37" si="3">ROUND((SUM(C22:H22)+SUM(K22:P22))*20,0)/20</f>
        <v>0</v>
      </c>
      <c r="S22" s="461"/>
      <c r="T22" s="462"/>
      <c r="U22" s="463"/>
      <c r="V22" s="404"/>
      <c r="X22" s="153"/>
      <c r="Y22" s="154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07" t="str">
        <f>IF($C$16="Salaire horaire","",(IF($C$17="oui","13. Salaire mensuel","")))</f>
        <v/>
      </c>
      <c r="B23" s="266" t="str">
        <f>IF(A23="13. Salaire mensuel","CHF"," ")</f>
        <v xml:space="preserve"> </v>
      </c>
      <c r="C23" s="281">
        <f>IF(OR($C$16="Salaire horaire",$C$16="à choisir"),0,(IF($C$17="oui",(C$22+C32+C33)/12,"")))</f>
        <v>0</v>
      </c>
      <c r="D23" s="283">
        <f t="shared" ref="D23:H23" si="4">IF(OR($C$16="Salaire horaire",$C$16="à choisir"),0,(IF($C$17="oui",(D$22+D32+D33)/12,"")))</f>
        <v>0</v>
      </c>
      <c r="E23" s="283">
        <f t="shared" si="4"/>
        <v>0</v>
      </c>
      <c r="F23" s="283">
        <f t="shared" si="4"/>
        <v>0</v>
      </c>
      <c r="G23" s="283">
        <f t="shared" si="4"/>
        <v>0</v>
      </c>
      <c r="H23" s="282">
        <f t="shared" si="4"/>
        <v>0</v>
      </c>
      <c r="I23" s="308" t="str">
        <f t="shared" si="0"/>
        <v/>
      </c>
      <c r="J23" s="266" t="str">
        <f>IF(I23="13. Salaire mensuel","CHF"," ")</f>
        <v xml:space="preserve"> </v>
      </c>
      <c r="K23" s="283">
        <f t="shared" ref="K23:P23" si="5">IF(OR($C$16="Salaire horaire",$C$16="à choisir"),0,(IF($C$17="oui",(K$22+K32+K33)/12,"")))</f>
        <v>0</v>
      </c>
      <c r="L23" s="283">
        <f t="shared" si="5"/>
        <v>0</v>
      </c>
      <c r="M23" s="283">
        <f t="shared" si="5"/>
        <v>0</v>
      </c>
      <c r="N23" s="299">
        <f t="shared" si="5"/>
        <v>0</v>
      </c>
      <c r="O23" s="283">
        <f t="shared" si="5"/>
        <v>0</v>
      </c>
      <c r="P23" s="282">
        <f t="shared" si="5"/>
        <v>0</v>
      </c>
      <c r="Q23" s="236">
        <f t="shared" si="3"/>
        <v>0</v>
      </c>
      <c r="S23" s="258"/>
      <c r="U23" s="259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0" t="str">
        <f>IF(G11="oui","Nombre d'heures 
de garde","")</f>
        <v/>
      </c>
      <c r="B24" s="369" t="str">
        <f>IF(A24="Nombre d'heures 
de garde","h"," ")</f>
        <v xml:space="preserve"> </v>
      </c>
      <c r="C24" s="283"/>
      <c r="D24" s="283"/>
      <c r="E24" s="283"/>
      <c r="F24" s="283"/>
      <c r="G24" s="283"/>
      <c r="H24" s="282"/>
      <c r="I24" s="370" t="str">
        <f t="shared" si="0"/>
        <v/>
      </c>
      <c r="J24" s="369" t="str">
        <f>B24</f>
        <v xml:space="preserve"> </v>
      </c>
      <c r="K24" s="283"/>
      <c r="L24" s="283"/>
      <c r="M24" s="283"/>
      <c r="N24" s="283"/>
      <c r="O24" s="283"/>
      <c r="P24" s="282"/>
      <c r="Q24" s="300">
        <f t="shared" si="3"/>
        <v>0</v>
      </c>
      <c r="S24" s="46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62"/>
      <c r="U24" s="463"/>
      <c r="V24" s="404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0" t="str">
        <f>IF(AND(C16="Salaire mensuel",G12="oui"),"Nombre d'engagements de nuit",IF(P10&gt;0.1,"Nombre d'engagements de nuit",""))</f>
        <v/>
      </c>
      <c r="B25" s="266" t="str">
        <f>IF(A25="Nombre d'engagements de nuit","Nb."," ")</f>
        <v xml:space="preserve"> </v>
      </c>
      <c r="C25" s="284"/>
      <c r="D25" s="284"/>
      <c r="E25" s="284"/>
      <c r="F25" s="284"/>
      <c r="G25" s="284"/>
      <c r="H25" s="285"/>
      <c r="I25" s="370" t="str">
        <f t="shared" si="0"/>
        <v/>
      </c>
      <c r="J25" s="266" t="str">
        <f>B25</f>
        <v xml:space="preserve"> </v>
      </c>
      <c r="K25" s="284"/>
      <c r="L25" s="284"/>
      <c r="M25" s="284"/>
      <c r="N25" s="284"/>
      <c r="O25" s="284"/>
      <c r="P25" s="301"/>
      <c r="Q25" s="298">
        <f t="shared" si="3"/>
        <v>0</v>
      </c>
      <c r="R25" s="76"/>
      <c r="S25" s="461"/>
      <c r="T25" s="462"/>
      <c r="U25" s="463"/>
      <c r="V25" s="404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08" t="str">
        <f>IF(AND($C$16="Salaire mensuel",$G$12="oui"),"Nombre d'heures",IF(C16="Salaire horaire",IF(G10="oui","Nombre d'heures I","Nombre d'heures"),""))</f>
        <v/>
      </c>
      <c r="B26" s="267" t="str">
        <f>IF(OR(A26="Nombre d'heures Standard",A26="Nombre d'heures",A26="Nombre d'heures I"),"h"," ")</f>
        <v xml:space="preserve"> </v>
      </c>
      <c r="C26" s="283"/>
      <c r="D26" s="283"/>
      <c r="E26" s="283"/>
      <c r="F26" s="283"/>
      <c r="G26" s="283"/>
      <c r="H26" s="282"/>
      <c r="I26" s="308" t="str">
        <f t="shared" si="0"/>
        <v/>
      </c>
      <c r="J26" s="267" t="str">
        <f>IF(OR(I26="Nombre d'heures Standard",I26="Nombre d'heures",I26="Nombre d'heures I"),"h"," ")</f>
        <v xml:space="preserve"> </v>
      </c>
      <c r="K26" s="283"/>
      <c r="L26" s="283"/>
      <c r="M26" s="283"/>
      <c r="N26" s="283"/>
      <c r="O26" s="283"/>
      <c r="P26" s="282"/>
      <c r="Q26" s="300">
        <f t="shared" si="3"/>
        <v>0</v>
      </c>
      <c r="R26" s="76"/>
      <c r="S26" s="461"/>
      <c r="T26" s="462"/>
      <c r="U26" s="463"/>
      <c r="V26" s="404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08" t="str">
        <f>IF($C$16="Salaire horaire",IF(G10="oui","Salaire horaire I","Salaire horaire"),"")</f>
        <v/>
      </c>
      <c r="B27" s="266" t="str">
        <f>IF(OR(A27="Salaire horaire Standard",A27="Salaire horaire",A27="Salaire horaire I"),"CHF"," ")</f>
        <v xml:space="preserve"> </v>
      </c>
      <c r="C27" s="233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3" t="str">
        <f t="shared" si="6"/>
        <v/>
      </c>
      <c r="E27" s="233" t="str">
        <f t="shared" si="6"/>
        <v/>
      </c>
      <c r="F27" s="233" t="str">
        <f t="shared" si="6"/>
        <v/>
      </c>
      <c r="G27" s="233" t="str">
        <f t="shared" si="6"/>
        <v/>
      </c>
      <c r="H27" s="234" t="str">
        <f t="shared" si="6"/>
        <v/>
      </c>
      <c r="I27" s="308" t="str">
        <f t="shared" si="0"/>
        <v/>
      </c>
      <c r="J27" s="266" t="str">
        <f>IF(OR(I27="Salaire horaire Standard",I27="Salaire horaire",I27="Salaire horaire I"),"CHF"," ")</f>
        <v xml:space="preserve"> </v>
      </c>
      <c r="K27" s="233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3" t="str">
        <f t="shared" si="7"/>
        <v/>
      </c>
      <c r="M27" s="233" t="str">
        <f t="shared" si="7"/>
        <v/>
      </c>
      <c r="N27" s="233" t="str">
        <f t="shared" si="7"/>
        <v/>
      </c>
      <c r="O27" s="233" t="str">
        <f t="shared" si="7"/>
        <v/>
      </c>
      <c r="P27" s="234" t="str">
        <f t="shared" si="7"/>
        <v/>
      </c>
      <c r="Q27" s="300">
        <f t="shared" si="3"/>
        <v>0</v>
      </c>
      <c r="R27" s="76"/>
      <c r="S27" s="258"/>
      <c r="T27" s="2"/>
      <c r="U27" s="259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08" t="str">
        <f>IF(G10="oui","Nombre d'heures II","")</f>
        <v/>
      </c>
      <c r="B28" s="267" t="str">
        <f>IF(OR(A28="Nombre d'heures Quali B",A28="Nombre d'heures II"),"h"," ")</f>
        <v xml:space="preserve"> </v>
      </c>
      <c r="C28" s="283"/>
      <c r="D28" s="283"/>
      <c r="E28" s="283"/>
      <c r="F28" s="283"/>
      <c r="G28" s="283"/>
      <c r="H28" s="282"/>
      <c r="I28" s="308" t="str">
        <f t="shared" si="0"/>
        <v/>
      </c>
      <c r="J28" s="267" t="str">
        <f>IF(OR(I28="Nombre d'heures Quali B",I28="Nombre d'heures II"),"h"," ")</f>
        <v xml:space="preserve"> </v>
      </c>
      <c r="K28" s="283"/>
      <c r="L28" s="283"/>
      <c r="M28" s="283"/>
      <c r="N28" s="299"/>
      <c r="O28" s="283"/>
      <c r="P28" s="282"/>
      <c r="Q28" s="300">
        <f t="shared" si="3"/>
        <v>0</v>
      </c>
      <c r="R28" s="78"/>
      <c r="S28" s="461">
        <f>IF(AND(AC6="oui",(G12="oui")),"ATTENTION: le salaire des proches ne doit pas ètre réglé avec la contribution d'assistance d l'AI",0)</f>
        <v>0</v>
      </c>
      <c r="T28" s="462"/>
      <c r="U28" s="463"/>
      <c r="V28" s="404"/>
      <c r="W28" s="78"/>
      <c r="X28" s="101"/>
      <c r="Y28" s="98"/>
    </row>
    <row r="29" spans="1:37" s="6" customFormat="1" x14ac:dyDescent="0.2">
      <c r="A29" s="308" t="str">
        <f>IF(G10="oui","Salaire horaire II","")</f>
        <v/>
      </c>
      <c r="B29" s="266" t="str">
        <f>IF(OR(A29="Salaire horaire Quali B",A29="Salaire horaire II"),"CHF"," ")</f>
        <v xml:space="preserve"> </v>
      </c>
      <c r="C29" s="233" t="str">
        <f t="shared" ref="C29:H29" si="8">IF($C$16="Salaire horaire",(IF(OR((DATEDIF($F$7,C21,"Y")&lt;20),(DATEDIF($F$7,C21,"Y")&gt;49)),$M$13/110.64%*(C28),$M$13/108.33%*(C28))),"")</f>
        <v/>
      </c>
      <c r="D29" s="233" t="str">
        <f t="shared" si="8"/>
        <v/>
      </c>
      <c r="E29" s="233" t="str">
        <f t="shared" si="8"/>
        <v/>
      </c>
      <c r="F29" s="233" t="str">
        <f t="shared" si="8"/>
        <v/>
      </c>
      <c r="G29" s="233" t="str">
        <f t="shared" si="8"/>
        <v/>
      </c>
      <c r="H29" s="234" t="str">
        <f t="shared" si="8"/>
        <v/>
      </c>
      <c r="I29" s="308" t="str">
        <f t="shared" si="0"/>
        <v/>
      </c>
      <c r="J29" s="266" t="str">
        <f>IF(OR(I29="Salaire horaire Quali B",I29="Salaire horaire II"),"CHF"," ")</f>
        <v xml:space="preserve"> </v>
      </c>
      <c r="K29" s="233" t="str">
        <f t="shared" ref="K29:P29" si="9">IF($C$16="Salaire horaire",(IF(OR((DATEDIF($F$7,K21,"Y")&lt;20),(DATEDIF($F$7,K21,"Y")&gt;49)),$M$13/110.64%*(K28),$M$13/108.33%*(K28))),"")</f>
        <v/>
      </c>
      <c r="L29" s="233" t="str">
        <f t="shared" si="9"/>
        <v/>
      </c>
      <c r="M29" s="233" t="str">
        <f t="shared" si="9"/>
        <v/>
      </c>
      <c r="N29" s="233" t="str">
        <f t="shared" si="9"/>
        <v/>
      </c>
      <c r="O29" s="233" t="str">
        <f t="shared" si="9"/>
        <v/>
      </c>
      <c r="P29" s="234" t="str">
        <f t="shared" si="9"/>
        <v/>
      </c>
      <c r="Q29" s="300">
        <f t="shared" si="3"/>
        <v>0</v>
      </c>
      <c r="R29" s="65"/>
      <c r="S29" s="461"/>
      <c r="T29" s="462"/>
      <c r="U29" s="463"/>
      <c r="V29" s="404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08" t="str">
        <f>IF($C$16="Salaire horaire","Supplément de vacances","")</f>
        <v/>
      </c>
      <c r="B30" s="266" t="str">
        <f>IF(A30="Supplément de vacances","CHF"," ")</f>
        <v xml:space="preserve"> </v>
      </c>
      <c r="C30" s="233">
        <f t="shared" ref="C30:H30" si="10">IF($C$16="Salaire horaire",(ROUND(IF(OR((DATEDIF($F$7,C$21,"Y")&lt;20),(DATEDIF($F$7,C$21,"Y")&gt;49)),(C$27+C$29)*10.64%,(C$27+C$29)*8.33%),2)),)</f>
        <v>0</v>
      </c>
      <c r="D30" s="233">
        <f t="shared" si="10"/>
        <v>0</v>
      </c>
      <c r="E30" s="233">
        <f t="shared" si="10"/>
        <v>0</v>
      </c>
      <c r="F30" s="233">
        <f t="shared" si="10"/>
        <v>0</v>
      </c>
      <c r="G30" s="233">
        <f t="shared" si="10"/>
        <v>0</v>
      </c>
      <c r="H30" s="234">
        <f t="shared" si="10"/>
        <v>0</v>
      </c>
      <c r="I30" s="308" t="str">
        <f t="shared" si="0"/>
        <v/>
      </c>
      <c r="J30" s="266" t="str">
        <f>IF(I30="Supplément de vacances","CHF"," ")</f>
        <v xml:space="preserve"> </v>
      </c>
      <c r="K30" s="233">
        <f t="shared" ref="K30:P30" si="11">IF($C$16="Salaire horaire",(ROUND(IF(OR((DATEDIF($F$7,K$21,"Y")&lt;20),(DATEDIF($F$7,K$21,"Y")&gt;49)),(K$27+K$29)*10.64%,(K$27+K$29)*8.33%),2)),)</f>
        <v>0</v>
      </c>
      <c r="L30" s="233">
        <f t="shared" si="11"/>
        <v>0</v>
      </c>
      <c r="M30" s="233">
        <f t="shared" si="11"/>
        <v>0</v>
      </c>
      <c r="N30" s="233">
        <f t="shared" si="11"/>
        <v>0</v>
      </c>
      <c r="O30" s="233">
        <f t="shared" si="11"/>
        <v>0</v>
      </c>
      <c r="P30" s="234">
        <f t="shared" si="11"/>
        <v>0</v>
      </c>
      <c r="Q30" s="300">
        <f t="shared" si="3"/>
        <v>0</v>
      </c>
      <c r="R30" s="65"/>
      <c r="S30" s="461"/>
      <c r="T30" s="462"/>
      <c r="U30" s="463"/>
      <c r="V30" s="404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09" t="s">
        <v>127</v>
      </c>
      <c r="B31" s="267" t="s">
        <v>128</v>
      </c>
      <c r="C31" s="412"/>
      <c r="D31" s="413"/>
      <c r="E31" s="413"/>
      <c r="F31" s="413"/>
      <c r="G31" s="413"/>
      <c r="H31" s="414"/>
      <c r="I31" s="309" t="str">
        <f t="shared" si="0"/>
        <v>Repas &amp; logement</v>
      </c>
      <c r="J31" s="267" t="s">
        <v>128</v>
      </c>
      <c r="K31" s="412"/>
      <c r="L31" s="412"/>
      <c r="M31" s="412"/>
      <c r="N31" s="412"/>
      <c r="O31" s="412"/>
      <c r="P31" s="414"/>
      <c r="Q31" s="83">
        <f t="shared" si="3"/>
        <v>0</v>
      </c>
      <c r="R31" s="65"/>
      <c r="S31" s="457">
        <f>IF(AND(M7+M12&gt;8,T11=0),"Remarque: à partir de 8 heures de travail effectives par semaine, l’employé doit avoir souscrit une assurance-accidents non professionnels!",0)</f>
        <v>0</v>
      </c>
      <c r="T31" s="458"/>
      <c r="U31" s="459"/>
      <c r="V31" s="403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09" t="s">
        <v>129</v>
      </c>
      <c r="B32" s="268" t="s">
        <v>128</v>
      </c>
      <c r="C32" s="412"/>
      <c r="D32" s="413"/>
      <c r="E32" s="413"/>
      <c r="F32" s="413"/>
      <c r="G32" s="413"/>
      <c r="H32" s="415"/>
      <c r="I32" s="309" t="str">
        <f t="shared" si="0"/>
        <v>Oblig. de verser le salaire (art. 324a CO) (soumis à l'AVS)</v>
      </c>
      <c r="J32" s="268" t="s">
        <v>128</v>
      </c>
      <c r="K32" s="413"/>
      <c r="L32" s="413"/>
      <c r="M32" s="413"/>
      <c r="N32" s="416"/>
      <c r="O32" s="413"/>
      <c r="P32" s="415"/>
      <c r="Q32" s="70">
        <f t="shared" si="3"/>
        <v>0</v>
      </c>
      <c r="R32" s="65"/>
      <c r="S32" s="457"/>
      <c r="T32" s="458"/>
      <c r="U32" s="459"/>
      <c r="V32" s="403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09" t="s">
        <v>130</v>
      </c>
      <c r="B33" s="268" t="s">
        <v>128</v>
      </c>
      <c r="C33" s="412"/>
      <c r="D33" s="413"/>
      <c r="E33" s="413"/>
      <c r="F33" s="413"/>
      <c r="G33" s="413"/>
      <c r="H33" s="415"/>
      <c r="I33" s="309" t="str">
        <f t="shared" si="0"/>
        <v>Oblig. de verser le salaire
(soumis à l'AVS)</v>
      </c>
      <c r="J33" s="268" t="s">
        <v>128</v>
      </c>
      <c r="K33" s="413"/>
      <c r="L33" s="413"/>
      <c r="M33" s="413"/>
      <c r="N33" s="416"/>
      <c r="O33" s="413"/>
      <c r="P33" s="415"/>
      <c r="Q33" s="70">
        <f t="shared" si="3"/>
        <v>0</v>
      </c>
      <c r="R33" s="65"/>
      <c r="S33" s="457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8"/>
      <c r="U33" s="459"/>
      <c r="V33" s="403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36" x14ac:dyDescent="0.2">
      <c r="A34" s="310" t="s">
        <v>131</v>
      </c>
      <c r="B34" s="269" t="s">
        <v>128</v>
      </c>
      <c r="C34" s="412"/>
      <c r="D34" s="413"/>
      <c r="E34" s="413"/>
      <c r="F34" s="413"/>
      <c r="G34" s="413"/>
      <c r="H34" s="415"/>
      <c r="I34" s="310" t="str">
        <f t="shared" si="0"/>
        <v>Allocation maternité / militaire (soumis à l'AVS)</v>
      </c>
      <c r="J34" s="269" t="s">
        <v>128</v>
      </c>
      <c r="K34" s="413"/>
      <c r="L34" s="413"/>
      <c r="M34" s="413"/>
      <c r="N34" s="416"/>
      <c r="O34" s="413"/>
      <c r="P34" s="415"/>
      <c r="Q34" s="70">
        <f t="shared" si="3"/>
        <v>0</v>
      </c>
      <c r="R34" s="57"/>
      <c r="S34" s="457"/>
      <c r="T34" s="458"/>
      <c r="U34" s="459"/>
      <c r="V34" s="403"/>
      <c r="W34" s="2">
        <f>IF(S33&gt;1,1,0)</f>
        <v>0</v>
      </c>
      <c r="X34" s="101"/>
      <c r="Y34" s="110">
        <f t="shared" ref="Y34:AD34" si="12">C21</f>
        <v>45292</v>
      </c>
      <c r="Z34" s="110">
        <f t="shared" si="12"/>
        <v>45323</v>
      </c>
      <c r="AA34" s="110">
        <f t="shared" si="12"/>
        <v>45352</v>
      </c>
      <c r="AB34" s="110">
        <f t="shared" si="12"/>
        <v>45383</v>
      </c>
      <c r="AC34" s="110">
        <f t="shared" si="12"/>
        <v>45413</v>
      </c>
      <c r="AD34" s="110">
        <f t="shared" si="12"/>
        <v>45444</v>
      </c>
      <c r="AE34" s="110">
        <f t="shared" ref="AE34:AJ34" si="13">K21</f>
        <v>45474</v>
      </c>
      <c r="AF34" s="110">
        <f t="shared" si="13"/>
        <v>45505</v>
      </c>
      <c r="AG34" s="110">
        <f t="shared" si="13"/>
        <v>45536</v>
      </c>
      <c r="AH34" s="110">
        <f t="shared" si="13"/>
        <v>45566</v>
      </c>
      <c r="AI34" s="110">
        <f t="shared" si="13"/>
        <v>45597</v>
      </c>
      <c r="AJ34" s="110">
        <f t="shared" si="13"/>
        <v>45627</v>
      </c>
    </row>
    <row r="35" spans="1:37" s="2" customFormat="1" ht="24" x14ac:dyDescent="0.2">
      <c r="A35" s="310" t="s">
        <v>132</v>
      </c>
      <c r="B35" s="269" t="s">
        <v>128</v>
      </c>
      <c r="C35" s="412"/>
      <c r="D35" s="413"/>
      <c r="E35" s="413"/>
      <c r="F35" s="413"/>
      <c r="G35" s="413"/>
      <c r="H35" s="415"/>
      <c r="I35" s="310" t="str">
        <f t="shared" si="0"/>
        <v>Indemnité d'assurance
(non soumis AVS)</v>
      </c>
      <c r="J35" s="269" t="s">
        <v>128</v>
      </c>
      <c r="K35" s="413"/>
      <c r="L35" s="413"/>
      <c r="M35" s="413"/>
      <c r="N35" s="416"/>
      <c r="O35" s="413"/>
      <c r="P35" s="415"/>
      <c r="Q35" s="70">
        <f t="shared" si="3"/>
        <v>0</v>
      </c>
      <c r="R35" s="57"/>
      <c r="S35" s="457"/>
      <c r="T35" s="458"/>
      <c r="U35" s="459"/>
      <c r="V35" s="403"/>
      <c r="W35" s="57"/>
      <c r="X35" s="101" t="s">
        <v>133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08" t="s">
        <v>134</v>
      </c>
      <c r="B36" s="267" t="s">
        <v>128</v>
      </c>
      <c r="C36" s="412"/>
      <c r="D36" s="413"/>
      <c r="E36" s="413"/>
      <c r="F36" s="413"/>
      <c r="G36" s="413"/>
      <c r="H36" s="415"/>
      <c r="I36" s="308" t="str">
        <f t="shared" si="0"/>
        <v>Allocations familiales</v>
      </c>
      <c r="J36" s="267" t="s">
        <v>128</v>
      </c>
      <c r="K36" s="413"/>
      <c r="L36" s="413"/>
      <c r="M36" s="413"/>
      <c r="N36" s="416"/>
      <c r="O36" s="413"/>
      <c r="P36" s="415"/>
      <c r="Q36" s="70">
        <f t="shared" si="3"/>
        <v>0</v>
      </c>
      <c r="R36" s="57"/>
      <c r="S36" s="457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8"/>
      <c r="U36" s="459"/>
      <c r="V36" s="403"/>
      <c r="W36" s="57"/>
      <c r="X36" s="105" t="s">
        <v>135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1" t="s">
        <v>136</v>
      </c>
      <c r="B37" s="270" t="s">
        <v>128</v>
      </c>
      <c r="C37" s="286">
        <f t="shared" ref="C37:H37" si="17">IF($C$16="Salaire horaire",SUM(C27,C29,C30,C31,C32,C33,C34,C35,C36),SUM(C22,C23,C30,C31,C32,C33,C34,C35,C36))</f>
        <v>0</v>
      </c>
      <c r="D37" s="286">
        <f t="shared" si="17"/>
        <v>0</v>
      </c>
      <c r="E37" s="286">
        <f t="shared" si="17"/>
        <v>0</v>
      </c>
      <c r="F37" s="286">
        <f t="shared" si="17"/>
        <v>0</v>
      </c>
      <c r="G37" s="286">
        <f t="shared" si="17"/>
        <v>0</v>
      </c>
      <c r="H37" s="238">
        <f t="shared" si="17"/>
        <v>0</v>
      </c>
      <c r="I37" s="311" t="str">
        <f t="shared" si="0"/>
        <v>Salaire brut</v>
      </c>
      <c r="J37" s="270" t="s">
        <v>128</v>
      </c>
      <c r="K37" s="286">
        <f t="shared" ref="K37:P37" si="18">IF($C$16="Salaire horaire",SUM(K27,K29,K30,K31,K32,K33,K34,K35,K36),SUM(K22,K23,K30,K31,K32,K33,K34,K35,K36))</f>
        <v>0</v>
      </c>
      <c r="L37" s="286">
        <f t="shared" si="18"/>
        <v>0</v>
      </c>
      <c r="M37" s="286">
        <f t="shared" si="18"/>
        <v>0</v>
      </c>
      <c r="N37" s="302">
        <f t="shared" si="18"/>
        <v>0</v>
      </c>
      <c r="O37" s="286">
        <f t="shared" si="18"/>
        <v>0</v>
      </c>
      <c r="P37" s="238">
        <f t="shared" si="18"/>
        <v>0</v>
      </c>
      <c r="Q37" s="238">
        <f t="shared" si="3"/>
        <v>0</v>
      </c>
      <c r="R37" s="57"/>
      <c r="S37" s="457"/>
      <c r="T37" s="458"/>
      <c r="U37" s="459"/>
      <c r="V37" s="403"/>
      <c r="W37" s="2">
        <f>IF(S36&gt;1,5,0)</f>
        <v>0</v>
      </c>
      <c r="X37" s="101" t="s">
        <v>137</v>
      </c>
      <c r="Y37" s="163">
        <f t="shared" ref="Y37:AD37" si="19">IF(Y35=0,0,IF($C$16="Salaire horaire",SUM(C27,C29,C30,C31,C32,C33,C34),SUM(C22,C23,C30,C31,C32,C33,C34)))</f>
        <v>0</v>
      </c>
      <c r="Z37" s="163">
        <f t="shared" si="19"/>
        <v>0</v>
      </c>
      <c r="AA37" s="163">
        <f t="shared" si="19"/>
        <v>0</v>
      </c>
      <c r="AB37" s="163">
        <f t="shared" si="19"/>
        <v>0</v>
      </c>
      <c r="AC37" s="163">
        <f t="shared" si="19"/>
        <v>0</v>
      </c>
      <c r="AD37" s="163">
        <f t="shared" si="19"/>
        <v>0</v>
      </c>
      <c r="AE37" s="163">
        <f t="shared" ref="AE37:AJ37" si="20">IF(AE35=0,0,IF($C$16="Salaire horaire",SUM(K27,K29,K30,K31,K32,K33,K34),SUM(K22,K23,K30,K31,K32,K33,K34)))</f>
        <v>0</v>
      </c>
      <c r="AF37" s="163">
        <f t="shared" si="20"/>
        <v>0</v>
      </c>
      <c r="AG37" s="163">
        <f t="shared" si="20"/>
        <v>0</v>
      </c>
      <c r="AH37" s="163">
        <f t="shared" si="20"/>
        <v>0</v>
      </c>
      <c r="AI37" s="163">
        <f t="shared" si="20"/>
        <v>0</v>
      </c>
      <c r="AJ37" s="163">
        <f t="shared" si="20"/>
        <v>0</v>
      </c>
    </row>
    <row r="38" spans="1:37" s="2" customFormat="1" ht="12" x14ac:dyDescent="0.2">
      <c r="A38" s="308" t="s">
        <v>138</v>
      </c>
      <c r="B38" s="271" t="s">
        <v>128</v>
      </c>
      <c r="C38" s="430">
        <f t="shared" ref="C38:H38" si="21">Y42</f>
        <v>0</v>
      </c>
      <c r="D38" s="430">
        <f t="shared" si="21"/>
        <v>0</v>
      </c>
      <c r="E38" s="430">
        <f t="shared" si="21"/>
        <v>0</v>
      </c>
      <c r="F38" s="430">
        <f t="shared" si="21"/>
        <v>0</v>
      </c>
      <c r="G38" s="430">
        <f t="shared" si="21"/>
        <v>0</v>
      </c>
      <c r="H38" s="431">
        <f t="shared" si="21"/>
        <v>0</v>
      </c>
      <c r="I38" s="308" t="str">
        <f t="shared" si="0"/>
        <v>Franchise rentier AVS</v>
      </c>
      <c r="J38" s="271" t="s">
        <v>128</v>
      </c>
      <c r="K38" s="430">
        <f t="shared" ref="K38:P38" si="22">AE42</f>
        <v>0</v>
      </c>
      <c r="L38" s="430">
        <f t="shared" si="22"/>
        <v>0</v>
      </c>
      <c r="M38" s="430">
        <f t="shared" si="22"/>
        <v>0</v>
      </c>
      <c r="N38" s="430">
        <f t="shared" si="22"/>
        <v>0</v>
      </c>
      <c r="O38" s="430">
        <f t="shared" si="22"/>
        <v>0</v>
      </c>
      <c r="P38" s="432">
        <f t="shared" si="22"/>
        <v>0</v>
      </c>
      <c r="Q38" s="303">
        <f>SUM(C38:H38)+SUM(K38:P38)</f>
        <v>0</v>
      </c>
      <c r="R38" s="57"/>
      <c r="S38" s="457"/>
      <c r="T38" s="458"/>
      <c r="U38" s="459"/>
      <c r="V38" s="403"/>
      <c r="W38" s="57"/>
      <c r="X38" s="2" t="s">
        <v>139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1" t="s">
        <v>140</v>
      </c>
      <c r="B39" s="270" t="s">
        <v>128</v>
      </c>
      <c r="C39" s="286">
        <f t="shared" ref="C39:H39" si="24">C37-C36-C35-C38</f>
        <v>0</v>
      </c>
      <c r="D39" s="286">
        <f t="shared" si="24"/>
        <v>0</v>
      </c>
      <c r="E39" s="286">
        <f t="shared" si="24"/>
        <v>0</v>
      </c>
      <c r="F39" s="286">
        <f t="shared" si="24"/>
        <v>0</v>
      </c>
      <c r="G39" s="286">
        <f t="shared" si="24"/>
        <v>0</v>
      </c>
      <c r="H39" s="238">
        <f t="shared" si="24"/>
        <v>0</v>
      </c>
      <c r="I39" s="311" t="str">
        <f t="shared" si="0"/>
        <v>AVS montant brut</v>
      </c>
      <c r="J39" s="270" t="s">
        <v>128</v>
      </c>
      <c r="K39" s="286">
        <f t="shared" ref="K39:P39" si="25">K37-K36-K35-K38</f>
        <v>0</v>
      </c>
      <c r="L39" s="286">
        <f t="shared" si="25"/>
        <v>0</v>
      </c>
      <c r="M39" s="286">
        <f t="shared" si="25"/>
        <v>0</v>
      </c>
      <c r="N39" s="302">
        <f t="shared" si="25"/>
        <v>0</v>
      </c>
      <c r="O39" s="286">
        <f t="shared" si="25"/>
        <v>0</v>
      </c>
      <c r="P39" s="238">
        <f t="shared" si="25"/>
        <v>0</v>
      </c>
      <c r="Q39" s="238">
        <f>ROUND((SUM(C39:H39)+SUM(K39:P39))*20,0)/20</f>
        <v>0</v>
      </c>
      <c r="R39" s="79"/>
      <c r="S39" s="457"/>
      <c r="T39" s="458"/>
      <c r="U39" s="459"/>
      <c r="V39" s="403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08" t="str">
        <f>CONCATENATE("AVS/AI/APG ",T8*100,"%")</f>
        <v>AVS/AI/APG 0%</v>
      </c>
      <c r="B40" s="272" t="s">
        <v>128</v>
      </c>
      <c r="C40" s="230">
        <f t="shared" ref="C40:H40" si="26">C$39*-$T$8</f>
        <v>0</v>
      </c>
      <c r="D40" s="230">
        <f t="shared" si="26"/>
        <v>0</v>
      </c>
      <c r="E40" s="230">
        <f t="shared" si="26"/>
        <v>0</v>
      </c>
      <c r="F40" s="230">
        <f t="shared" si="26"/>
        <v>0</v>
      </c>
      <c r="G40" s="230">
        <f t="shared" si="26"/>
        <v>0</v>
      </c>
      <c r="H40" s="231">
        <f t="shared" si="26"/>
        <v>0</v>
      </c>
      <c r="I40" s="322" t="str">
        <f t="shared" si="0"/>
        <v>AVS/AI/APG 0%</v>
      </c>
      <c r="J40" s="272" t="s">
        <v>128</v>
      </c>
      <c r="K40" s="230">
        <f t="shared" ref="K40:P40" si="27">K$39*-$T$8</f>
        <v>0</v>
      </c>
      <c r="L40" s="230">
        <f t="shared" si="27"/>
        <v>0</v>
      </c>
      <c r="M40" s="230">
        <f t="shared" si="27"/>
        <v>0</v>
      </c>
      <c r="N40" s="232">
        <f t="shared" si="27"/>
        <v>0</v>
      </c>
      <c r="O40" s="230">
        <f t="shared" si="27"/>
        <v>0</v>
      </c>
      <c r="P40" s="231">
        <f t="shared" si="27"/>
        <v>0</v>
      </c>
      <c r="Q40" s="235">
        <f t="shared" ref="Q40:Q48" si="28">ROUND((SUM(C40:H40)+SUM(K40:P40))*20,0)/20</f>
        <v>0</v>
      </c>
      <c r="R40" s="65"/>
      <c r="S40" s="474"/>
      <c r="T40" s="475"/>
      <c r="U40" s="476"/>
      <c r="V40" s="403"/>
      <c r="W40" s="65"/>
      <c r="X40" s="2" t="s">
        <v>141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08" t="str">
        <f>CONCATENATE("AC ",T9*100,"%")</f>
        <v>AC 0%</v>
      </c>
      <c r="B41" s="267" t="s">
        <v>128</v>
      </c>
      <c r="C41" s="233">
        <f t="shared" ref="C41:H41" si="30">C$39*(IF(DATEDIF($F$7,$D$1,"Y")&lt;18,0,IF(DATEDIF($F$7,C21,"Y")&gt;(IF($C$10="féminin",63,64)),0,-1.1%)))</f>
        <v>0</v>
      </c>
      <c r="D41" s="233">
        <f t="shared" si="30"/>
        <v>0</v>
      </c>
      <c r="E41" s="233">
        <f t="shared" si="30"/>
        <v>0</v>
      </c>
      <c r="F41" s="233">
        <f t="shared" si="30"/>
        <v>0</v>
      </c>
      <c r="G41" s="233">
        <f t="shared" si="30"/>
        <v>0</v>
      </c>
      <c r="H41" s="234">
        <f t="shared" si="30"/>
        <v>0</v>
      </c>
      <c r="I41" s="322" t="str">
        <f t="shared" si="0"/>
        <v>AC 0%</v>
      </c>
      <c r="J41" s="267" t="s">
        <v>128</v>
      </c>
      <c r="K41" s="233">
        <f t="shared" ref="K41:P41" si="31">K$39*(IF(DATEDIF($F$7,$D$1,"Y")&lt;18,0,IF(DATEDIF($F$7,K21,"Y")&gt;(IF($C$10="féminin",63,64)),0,-1.1%)))</f>
        <v>0</v>
      </c>
      <c r="L41" s="233">
        <f t="shared" si="31"/>
        <v>0</v>
      </c>
      <c r="M41" s="233">
        <f t="shared" si="31"/>
        <v>0</v>
      </c>
      <c r="N41" s="232">
        <f t="shared" si="31"/>
        <v>0</v>
      </c>
      <c r="O41" s="233">
        <f t="shared" si="31"/>
        <v>0</v>
      </c>
      <c r="P41" s="234">
        <f t="shared" si="31"/>
        <v>0</v>
      </c>
      <c r="Q41" s="236">
        <f t="shared" si="28"/>
        <v>0</v>
      </c>
      <c r="R41" s="79"/>
      <c r="S41" s="472"/>
      <c r="T41" s="472"/>
      <c r="U41" s="472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08" t="str">
        <f>IF(T11&lt;0.01,"ANP",(CONCATENATE("ANP ",T11*100,"%")))</f>
        <v>ANP</v>
      </c>
      <c r="B42" s="267" t="s">
        <v>128</v>
      </c>
      <c r="C42" s="412">
        <f t="shared" ref="C42:H42" si="32">(C$37-C$34-C$35-C$36)*-$T$11</f>
        <v>0</v>
      </c>
      <c r="D42" s="412">
        <f t="shared" si="32"/>
        <v>0</v>
      </c>
      <c r="E42" s="412">
        <f t="shared" si="32"/>
        <v>0</v>
      </c>
      <c r="F42" s="412">
        <f t="shared" si="32"/>
        <v>0</v>
      </c>
      <c r="G42" s="412">
        <f t="shared" si="32"/>
        <v>0</v>
      </c>
      <c r="H42" s="414">
        <f t="shared" si="32"/>
        <v>0</v>
      </c>
      <c r="I42" s="322" t="str">
        <f t="shared" si="0"/>
        <v>ANP</v>
      </c>
      <c r="J42" s="267" t="s">
        <v>128</v>
      </c>
      <c r="K42" s="412">
        <f t="shared" ref="K42:P42" si="33">(K$37-K$34-K$35-K$36)*-$T$11</f>
        <v>0</v>
      </c>
      <c r="L42" s="412">
        <f t="shared" si="33"/>
        <v>0</v>
      </c>
      <c r="M42" s="412">
        <f t="shared" si="33"/>
        <v>0</v>
      </c>
      <c r="N42" s="416">
        <f t="shared" si="33"/>
        <v>0</v>
      </c>
      <c r="O42" s="412">
        <f t="shared" si="33"/>
        <v>0</v>
      </c>
      <c r="P42" s="414">
        <f t="shared" si="33"/>
        <v>0</v>
      </c>
      <c r="Q42" s="236">
        <f t="shared" si="28"/>
        <v>0</v>
      </c>
      <c r="R42" s="65"/>
      <c r="S42" s="473"/>
      <c r="T42" s="473"/>
      <c r="U42" s="473"/>
      <c r="V42" s="79"/>
      <c r="W42" s="2">
        <f>IF(S41&gt;1,1,0)</f>
        <v>0</v>
      </c>
      <c r="X42" s="2" t="s">
        <v>142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08" t="str">
        <f>IF(T13&lt;0.0000001,"IJM",(CONCATENATE("IJM ",T13*100,"%")))</f>
        <v>IJM</v>
      </c>
      <c r="B43" s="267" t="s">
        <v>128</v>
      </c>
      <c r="C43" s="412">
        <f t="shared" ref="C43:H43" si="35">(C$37-C$34-C$35-C$36)*-$T$13</f>
        <v>0</v>
      </c>
      <c r="D43" s="412">
        <f t="shared" si="35"/>
        <v>0</v>
      </c>
      <c r="E43" s="412">
        <f t="shared" si="35"/>
        <v>0</v>
      </c>
      <c r="F43" s="412">
        <f t="shared" si="35"/>
        <v>0</v>
      </c>
      <c r="G43" s="412">
        <f t="shared" si="35"/>
        <v>0</v>
      </c>
      <c r="H43" s="414">
        <f t="shared" si="35"/>
        <v>0</v>
      </c>
      <c r="I43" s="322" t="str">
        <f t="shared" si="0"/>
        <v>IJM</v>
      </c>
      <c r="J43" s="267" t="s">
        <v>128</v>
      </c>
      <c r="K43" s="412">
        <f t="shared" ref="K43:P43" si="36">(K$37-K$34-K$35-K$36)*-$T$13</f>
        <v>0</v>
      </c>
      <c r="L43" s="412">
        <f t="shared" si="36"/>
        <v>0</v>
      </c>
      <c r="M43" s="412">
        <f t="shared" si="36"/>
        <v>0</v>
      </c>
      <c r="N43" s="416">
        <f t="shared" si="36"/>
        <v>0</v>
      </c>
      <c r="O43" s="412">
        <f t="shared" si="36"/>
        <v>0</v>
      </c>
      <c r="P43" s="414">
        <f t="shared" si="36"/>
        <v>0</v>
      </c>
      <c r="Q43" s="236">
        <f t="shared" si="28"/>
        <v>0</v>
      </c>
      <c r="R43" s="65"/>
      <c r="S43" s="473"/>
      <c r="T43" s="473"/>
      <c r="U43" s="473"/>
      <c r="V43" s="65"/>
      <c r="W43" s="65"/>
      <c r="X43" s="101" t="s">
        <v>143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1">
        <f>MROUND(SUM(Y43:AJ43),0.05)</f>
        <v>0</v>
      </c>
    </row>
    <row r="44" spans="1:37" s="2" customFormat="1" ht="15" customHeight="1" x14ac:dyDescent="0.2">
      <c r="A44" s="308" t="str">
        <f>IF(T16&gt;0.01%,(CONCATENATE("LPP ",T16*100,"%")),IF(T15&lt;0.01,"LPP",(CONCATENATE("LPP ","CHF ",T15))))</f>
        <v>LPP</v>
      </c>
      <c r="B44" s="267" t="s">
        <v>128</v>
      </c>
      <c r="C44" s="412">
        <f t="shared" ref="C44:H44" si="39">IF(C39&lt;1,0,(IF(DATEDIF($F$7,$D$1,"Y")&lt;19,0,(IF(DATEDIF($F$7,C21,"Y")&gt;(IF($C$10="féminin",63,64)),0,IF($T$16&gt;0.1%,-$T$16*C39,-$T$15))))))</f>
        <v>0</v>
      </c>
      <c r="D44" s="412">
        <f t="shared" si="39"/>
        <v>0</v>
      </c>
      <c r="E44" s="412">
        <f t="shared" si="39"/>
        <v>0</v>
      </c>
      <c r="F44" s="412">
        <f t="shared" si="39"/>
        <v>0</v>
      </c>
      <c r="G44" s="412">
        <f t="shared" si="39"/>
        <v>0</v>
      </c>
      <c r="H44" s="414">
        <f t="shared" si="39"/>
        <v>0</v>
      </c>
      <c r="I44" s="322" t="str">
        <f t="shared" si="0"/>
        <v>LPP</v>
      </c>
      <c r="J44" s="267" t="s">
        <v>128</v>
      </c>
      <c r="K44" s="412">
        <f t="shared" ref="K44:P44" si="40">IF(K39&lt;1,0,(IF(DATEDIF($F$7,$D$1,"Y")&lt;19,0,(IF(DATEDIF($F$7,K21,"Y")&gt;(IF($C$10="féminin",63,64)),0,IF($T$16&gt;0.1%,-$T$16*K39,-$T$15))))))</f>
        <v>0</v>
      </c>
      <c r="L44" s="412">
        <f t="shared" si="40"/>
        <v>0</v>
      </c>
      <c r="M44" s="412">
        <f t="shared" si="40"/>
        <v>0</v>
      </c>
      <c r="N44" s="416">
        <f t="shared" si="40"/>
        <v>0</v>
      </c>
      <c r="O44" s="412">
        <f t="shared" si="40"/>
        <v>0</v>
      </c>
      <c r="P44" s="414">
        <f t="shared" si="40"/>
        <v>0</v>
      </c>
      <c r="Q44" s="236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08" t="str">
        <f>IF(G13="à choisir","",IF(OR(Y9&lt;5%,G13="ordinaire",)," ",(CONCATENATE("Impôt selon LTN ",Y9*100,"%"))))</f>
        <v/>
      </c>
      <c r="B45" s="266" t="str">
        <f>IF(A45="Impôt selon LTN 5%","CHF"," ")</f>
        <v xml:space="preserve"> </v>
      </c>
      <c r="C45" s="412">
        <f t="shared" ref="C45:H45" si="41">IF(C39+C38=0,0,IF(DATEDIF($F$7,C21,"Y")&lt;(IF($C$10="féminin",64,65)),C39*-$Y$9,IF(AND(C38&gt;1),(C39+C38)*-$Y$9,C39*-$Y$9)))</f>
        <v>0</v>
      </c>
      <c r="D45" s="412">
        <f t="shared" si="41"/>
        <v>0</v>
      </c>
      <c r="E45" s="412">
        <f t="shared" si="41"/>
        <v>0</v>
      </c>
      <c r="F45" s="412">
        <f t="shared" si="41"/>
        <v>0</v>
      </c>
      <c r="G45" s="412">
        <f t="shared" si="41"/>
        <v>0</v>
      </c>
      <c r="H45" s="414">
        <f t="shared" si="41"/>
        <v>0</v>
      </c>
      <c r="I45" s="308" t="str">
        <f>A45</f>
        <v/>
      </c>
      <c r="J45" s="266" t="str">
        <f>IF(I45="Impôt selon LTN 5%","CHF"," ")</f>
        <v xml:space="preserve"> </v>
      </c>
      <c r="K45" s="412">
        <f t="shared" ref="K45:P45" si="42">IF(K39+K38=0,0,IF(DATEDIF($F$7,K21,"Y")&lt;(IF($C$10="féminin",64,65)),K39*-$Y$9,IF(AND(K38&gt;1),(K39+K38)*-$Y$9,K39*-$Y$9)))</f>
        <v>0</v>
      </c>
      <c r="L45" s="412">
        <f t="shared" si="42"/>
        <v>0</v>
      </c>
      <c r="M45" s="412">
        <f t="shared" si="42"/>
        <v>0</v>
      </c>
      <c r="N45" s="412">
        <f t="shared" si="42"/>
        <v>0</v>
      </c>
      <c r="O45" s="412">
        <f t="shared" si="42"/>
        <v>0</v>
      </c>
      <c r="P45" s="414">
        <f t="shared" si="42"/>
        <v>0</v>
      </c>
      <c r="Q45" s="300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08" t="str">
        <f>IF(G13="ordinaire","Impôt à la source","")</f>
        <v/>
      </c>
      <c r="B46" s="266" t="str">
        <f>IF(A46="Impôt à la source","CHF"," ")</f>
        <v xml:space="preserve"> </v>
      </c>
      <c r="C46" s="412"/>
      <c r="D46" s="412"/>
      <c r="E46" s="412"/>
      <c r="F46" s="412"/>
      <c r="G46" s="412"/>
      <c r="H46" s="415"/>
      <c r="I46" s="322" t="str">
        <f t="shared" si="0"/>
        <v/>
      </c>
      <c r="J46" s="266" t="str">
        <f>IF(I46="Impôt à la source","CHF"," ")</f>
        <v xml:space="preserve"> </v>
      </c>
      <c r="K46" s="413"/>
      <c r="L46" s="413"/>
      <c r="M46" s="413"/>
      <c r="N46" s="416"/>
      <c r="O46" s="413"/>
      <c r="P46" s="415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08" t="s">
        <v>144</v>
      </c>
      <c r="B47" s="267" t="s">
        <v>128</v>
      </c>
      <c r="C47" s="412"/>
      <c r="D47" s="413"/>
      <c r="E47" s="413"/>
      <c r="F47" s="413"/>
      <c r="G47" s="413"/>
      <c r="H47" s="415"/>
      <c r="I47" s="322" t="str">
        <f t="shared" si="0"/>
        <v>Frais effectifs</v>
      </c>
      <c r="J47" s="267" t="s">
        <v>128</v>
      </c>
      <c r="K47" s="413"/>
      <c r="L47" s="413"/>
      <c r="M47" s="413"/>
      <c r="N47" s="416"/>
      <c r="O47" s="413"/>
      <c r="P47" s="415"/>
      <c r="Q47" s="70">
        <f t="shared" si="28"/>
        <v>0</v>
      </c>
      <c r="R47" s="165"/>
      <c r="S47" s="65"/>
      <c r="T47" s="65"/>
      <c r="U47" s="65"/>
      <c r="V47" s="165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2" t="s">
        <v>127</v>
      </c>
      <c r="B48" s="271" t="s">
        <v>128</v>
      </c>
      <c r="C48" s="412">
        <f>-C31</f>
        <v>0</v>
      </c>
      <c r="D48" s="413">
        <f t="shared" ref="D48:H48" si="43">-D31</f>
        <v>0</v>
      </c>
      <c r="E48" s="413">
        <f t="shared" si="43"/>
        <v>0</v>
      </c>
      <c r="F48" s="413">
        <f t="shared" si="43"/>
        <v>0</v>
      </c>
      <c r="G48" s="413">
        <f t="shared" si="43"/>
        <v>0</v>
      </c>
      <c r="H48" s="415">
        <f t="shared" si="43"/>
        <v>0</v>
      </c>
      <c r="I48" s="323" t="str">
        <f t="shared" si="0"/>
        <v>Repas &amp; logement</v>
      </c>
      <c r="J48" s="271" t="s">
        <v>128</v>
      </c>
      <c r="K48" s="413">
        <f t="shared" ref="K48:P48" si="44">-K31</f>
        <v>0</v>
      </c>
      <c r="L48" s="413">
        <f t="shared" si="44"/>
        <v>0</v>
      </c>
      <c r="M48" s="413">
        <f t="shared" si="44"/>
        <v>0</v>
      </c>
      <c r="N48" s="416">
        <f t="shared" si="44"/>
        <v>0</v>
      </c>
      <c r="O48" s="413">
        <f t="shared" si="44"/>
        <v>0</v>
      </c>
      <c r="P48" s="415">
        <f t="shared" si="44"/>
        <v>0</v>
      </c>
      <c r="Q48" s="237">
        <f t="shared" si="28"/>
        <v>0</v>
      </c>
      <c r="R48" s="57"/>
      <c r="S48" s="165"/>
      <c r="T48" s="165"/>
      <c r="U48" s="165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29" t="s">
        <v>145</v>
      </c>
      <c r="B49" s="330" t="s">
        <v>128</v>
      </c>
      <c r="C49" s="325">
        <f>MROUND(C37+(SUM(C40:C46)+C47+C48),0.05)</f>
        <v>0</v>
      </c>
      <c r="D49" s="325">
        <f t="shared" ref="D49:H49" si="45">MROUND(D37+(SUM(D40:D46)+D47+D48),0.05)</f>
        <v>0</v>
      </c>
      <c r="E49" s="325">
        <f t="shared" si="45"/>
        <v>0</v>
      </c>
      <c r="F49" s="325">
        <f t="shared" si="45"/>
        <v>0</v>
      </c>
      <c r="G49" s="325">
        <f t="shared" si="45"/>
        <v>0</v>
      </c>
      <c r="H49" s="327">
        <f t="shared" si="45"/>
        <v>0</v>
      </c>
      <c r="I49" s="329" t="str">
        <f t="shared" si="0"/>
        <v>Salaire net</v>
      </c>
      <c r="J49" s="330" t="s">
        <v>128</v>
      </c>
      <c r="K49" s="325">
        <f t="shared" ref="K49:P49" si="46">MROUND(K37+(SUM(K40:K46)+K47+K48),0.05)</f>
        <v>0</v>
      </c>
      <c r="L49" s="325">
        <f t="shared" si="46"/>
        <v>0</v>
      </c>
      <c r="M49" s="325">
        <f t="shared" si="46"/>
        <v>0</v>
      </c>
      <c r="N49" s="325">
        <f t="shared" si="46"/>
        <v>0</v>
      </c>
      <c r="O49" s="325">
        <f t="shared" si="46"/>
        <v>0</v>
      </c>
      <c r="P49" s="327">
        <f t="shared" si="46"/>
        <v>0</v>
      </c>
      <c r="Q49" s="238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1" t="s">
        <v>146</v>
      </c>
      <c r="B50" s="324" t="s">
        <v>128</v>
      </c>
      <c r="C50" s="412"/>
      <c r="D50" s="412"/>
      <c r="E50" s="412"/>
      <c r="F50" s="412"/>
      <c r="G50" s="412"/>
      <c r="H50" s="414"/>
      <c r="I50" s="331" t="str">
        <f t="shared" si="0"/>
        <v>Salaire net payé</v>
      </c>
      <c r="J50" s="324" t="s">
        <v>128</v>
      </c>
      <c r="K50" s="412"/>
      <c r="L50" s="412"/>
      <c r="M50" s="412"/>
      <c r="N50" s="412"/>
      <c r="O50" s="412"/>
      <c r="P50" s="414"/>
      <c r="Q50" s="305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2" t="s">
        <v>147</v>
      </c>
      <c r="B51" s="333" t="s">
        <v>128</v>
      </c>
      <c r="C51" s="326">
        <f>IF(C50=0,0,C50-C49)</f>
        <v>0</v>
      </c>
      <c r="D51" s="326">
        <f t="shared" ref="D51:H51" si="47">IF(D50=0,0,D50-D49)</f>
        <v>0</v>
      </c>
      <c r="E51" s="326">
        <f t="shared" si="47"/>
        <v>0</v>
      </c>
      <c r="F51" s="326">
        <f t="shared" si="47"/>
        <v>0</v>
      </c>
      <c r="G51" s="326">
        <f t="shared" si="47"/>
        <v>0</v>
      </c>
      <c r="H51" s="328">
        <f t="shared" si="47"/>
        <v>0</v>
      </c>
      <c r="I51" s="332" t="str">
        <f t="shared" si="0"/>
        <v>Différence</v>
      </c>
      <c r="J51" s="333" t="s">
        <v>128</v>
      </c>
      <c r="K51" s="326">
        <f t="shared" ref="K51:P51" si="48">IF(K50=0,0,K50-K49)</f>
        <v>0</v>
      </c>
      <c r="L51" s="326">
        <f t="shared" si="48"/>
        <v>0</v>
      </c>
      <c r="M51" s="326">
        <f t="shared" si="48"/>
        <v>0</v>
      </c>
      <c r="N51" s="326">
        <f t="shared" si="48"/>
        <v>0</v>
      </c>
      <c r="O51" s="326">
        <f t="shared" si="48"/>
        <v>0</v>
      </c>
      <c r="P51" s="328">
        <f t="shared" si="48"/>
        <v>0</v>
      </c>
      <c r="Q51" s="305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148</v>
      </c>
      <c r="B52" s="321"/>
      <c r="C52" s="448"/>
      <c r="D52" s="448"/>
      <c r="E52" s="448"/>
      <c r="F52" s="448"/>
      <c r="G52" s="448"/>
      <c r="H52" s="446"/>
      <c r="I52" s="71" t="str">
        <f t="shared" si="0"/>
        <v>Remarques</v>
      </c>
      <c r="J52" s="321"/>
      <c r="K52" s="448"/>
      <c r="L52" s="448"/>
      <c r="M52" s="448"/>
      <c r="N52" s="448"/>
      <c r="O52" s="450"/>
      <c r="P52" s="446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3"/>
      <c r="B53" s="273"/>
      <c r="C53" s="449"/>
      <c r="D53" s="449"/>
      <c r="E53" s="449"/>
      <c r="F53" s="449"/>
      <c r="G53" s="449"/>
      <c r="H53" s="447"/>
      <c r="I53" s="313"/>
      <c r="J53" s="273"/>
      <c r="K53" s="449"/>
      <c r="L53" s="449"/>
      <c r="M53" s="449"/>
      <c r="N53" s="449"/>
      <c r="O53" s="451"/>
      <c r="P53" s="447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4" t="s">
        <v>149</v>
      </c>
      <c r="B55" s="274"/>
      <c r="C55" s="85">
        <f t="shared" ref="C55:H55" si="50">C21</f>
        <v>45292</v>
      </c>
      <c r="D55" s="86">
        <f t="shared" si="50"/>
        <v>45323</v>
      </c>
      <c r="E55" s="86">
        <f t="shared" si="50"/>
        <v>45352</v>
      </c>
      <c r="F55" s="86">
        <f t="shared" si="50"/>
        <v>45383</v>
      </c>
      <c r="G55" s="86">
        <f t="shared" si="50"/>
        <v>45413</v>
      </c>
      <c r="H55" s="87">
        <f t="shared" si="50"/>
        <v>45444</v>
      </c>
      <c r="I55" s="314" t="str">
        <f>A55</f>
        <v>Données pour AssistMe:</v>
      </c>
      <c r="J55" s="274"/>
      <c r="K55" s="86">
        <f t="shared" ref="K55:P55" si="51">K21</f>
        <v>45474</v>
      </c>
      <c r="L55" s="86">
        <f t="shared" si="51"/>
        <v>45505</v>
      </c>
      <c r="M55" s="86">
        <f t="shared" si="51"/>
        <v>45536</v>
      </c>
      <c r="N55" s="88">
        <f t="shared" si="51"/>
        <v>45566</v>
      </c>
      <c r="O55" s="86">
        <f t="shared" si="51"/>
        <v>45597</v>
      </c>
      <c r="P55" s="87">
        <f t="shared" si="51"/>
        <v>45627</v>
      </c>
      <c r="Q55" s="224" t="s">
        <v>126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5" t="s">
        <v>150</v>
      </c>
      <c r="B56" s="275" t="s">
        <v>151</v>
      </c>
      <c r="C56" s="402" t="str">
        <f t="shared" ref="C56:H56" si="52">IF($C$16="Salaire horaire",IF($M$8="","",(C25*$P$10)+(C24*$P$7)+C26+C28+(C32+C33)/(IF($M$13&gt;1,((($M$8+$M$13)/2)),$M$8))),"Salaire mensuel")</f>
        <v>Salaire mensuel</v>
      </c>
      <c r="D56" s="402" t="str">
        <f t="shared" si="52"/>
        <v>Salaire mensuel</v>
      </c>
      <c r="E56" s="402" t="str">
        <f t="shared" si="52"/>
        <v>Salaire mensuel</v>
      </c>
      <c r="F56" s="402" t="str">
        <f t="shared" si="52"/>
        <v>Salaire mensuel</v>
      </c>
      <c r="G56" s="402" t="str">
        <f t="shared" si="52"/>
        <v>Salaire mensuel</v>
      </c>
      <c r="H56" s="287" t="str">
        <f t="shared" si="52"/>
        <v>Salaire mensuel</v>
      </c>
      <c r="I56" s="316" t="str">
        <f>A56</f>
        <v>Nombre d'heures</v>
      </c>
      <c r="J56" s="275" t="s">
        <v>151</v>
      </c>
      <c r="K56" s="402" t="str">
        <f t="shared" ref="K56:P56" si="53">IF($C$16="Salaire horaire",IF($M$8="","",(K25*$P$10)+(K24*$P$7)+K26+K28+(K32+K33)/(IF($M$13&gt;1,((($M$8+$M$13)/2)),$M$8))),"Salaire mensuel")</f>
        <v>Salaire mensuel</v>
      </c>
      <c r="L56" s="402" t="str">
        <f t="shared" si="53"/>
        <v>Salaire mensuel</v>
      </c>
      <c r="M56" s="402" t="str">
        <f t="shared" si="53"/>
        <v>Salaire mensuel</v>
      </c>
      <c r="N56" s="402" t="str">
        <f t="shared" si="53"/>
        <v>Salaire mensuel</v>
      </c>
      <c r="O56" s="402" t="str">
        <f t="shared" si="53"/>
        <v>Salaire mensuel</v>
      </c>
      <c r="P56" s="287" t="str">
        <f t="shared" si="53"/>
        <v>Salaire mensuel</v>
      </c>
      <c r="Q56" s="229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16" t="s">
        <v>145</v>
      </c>
      <c r="B57" s="276" t="s">
        <v>128</v>
      </c>
      <c r="C57" s="288">
        <f>C49-C48-C47-C46-C36-C35-C34-C31</f>
        <v>0</v>
      </c>
      <c r="D57" s="288">
        <f t="shared" ref="D57:H57" si="54">D49-D48-D47-D46-D36-D35-D34-D31</f>
        <v>0</v>
      </c>
      <c r="E57" s="288">
        <f t="shared" si="54"/>
        <v>0</v>
      </c>
      <c r="F57" s="288">
        <f t="shared" si="54"/>
        <v>0</v>
      </c>
      <c r="G57" s="288">
        <f t="shared" si="54"/>
        <v>0</v>
      </c>
      <c r="H57" s="287">
        <f t="shared" si="54"/>
        <v>0</v>
      </c>
      <c r="I57" s="316" t="str">
        <f>A57</f>
        <v>Salaire net</v>
      </c>
      <c r="J57" s="276" t="s">
        <v>128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297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17" t="s">
        <v>152</v>
      </c>
      <c r="B58" s="277" t="s">
        <v>128</v>
      </c>
      <c r="C58" s="289">
        <f>IF(C32&gt;0.1,C32-(C32*(SUM($T$8:$T$14)+$Y$9+$T$16))-(C32/IF(C39=0,1,C39)*-C44),IF(C32&lt;-0.1,C32-(C32*(SUM($T$8:$T$14)+$Y$9+$T$16))-(C32/IF(C39=0,1,C39)*-C44),0))</f>
        <v>0</v>
      </c>
      <c r="D58" s="289">
        <f t="shared" ref="D58:H58" si="56">IF(D32&gt;0.1,D32-(D32*(SUM($T$8:$T$14)+$Y$9+$T$16))-(D32/IF(D39=0,1,D39)*-D44),IF(D32&lt;-0.1,D32-(D32*(SUM($T$8:$T$14)+$Y$9+$T$16))-(D32/IF(D39=0,1,D39)*-D44),0))</f>
        <v>0</v>
      </c>
      <c r="E58" s="289">
        <f t="shared" si="56"/>
        <v>0</v>
      </c>
      <c r="F58" s="289">
        <f t="shared" si="56"/>
        <v>0</v>
      </c>
      <c r="G58" s="289">
        <f t="shared" si="56"/>
        <v>0</v>
      </c>
      <c r="H58" s="290">
        <f t="shared" si="56"/>
        <v>0</v>
      </c>
      <c r="I58" s="317" t="str">
        <f>A58</f>
        <v>Dont oblig. de verser le salaire (art. 324a CO)</v>
      </c>
      <c r="J58" s="277" t="s">
        <v>128</v>
      </c>
      <c r="K58" s="289">
        <f t="shared" ref="K58:P58" si="57">IF(K32&gt;0.1,K32-(K32*(SUM($T$8:$T$14)+$Y$9+$T$16))-(K32/IF(K39=0,1,K39)*-K44),IF(K32&lt;-0.1,K32-(K32*(SUM($T$8:$T$14)+$Y$9+$T$16))-(K32/IF(K39=0,1,K39)*-K44),0))</f>
        <v>0</v>
      </c>
      <c r="L58" s="289">
        <f t="shared" si="57"/>
        <v>0</v>
      </c>
      <c r="M58" s="289">
        <f t="shared" si="57"/>
        <v>0</v>
      </c>
      <c r="N58" s="289">
        <f t="shared" si="57"/>
        <v>0</v>
      </c>
      <c r="O58" s="289">
        <f t="shared" si="57"/>
        <v>0</v>
      </c>
      <c r="P58" s="290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18" t="str">
        <f>IF(G12="oui","Contribution d'assistance de l'AI","")</f>
        <v/>
      </c>
      <c r="B60" s="278"/>
      <c r="C60" s="219" t="str">
        <f t="shared" ref="C60:H60" si="58">IF($G$12="oui",C21,"")</f>
        <v/>
      </c>
      <c r="D60" s="219" t="str">
        <f t="shared" si="58"/>
        <v/>
      </c>
      <c r="E60" s="219" t="str">
        <f t="shared" si="58"/>
        <v/>
      </c>
      <c r="F60" s="219" t="str">
        <f t="shared" si="58"/>
        <v/>
      </c>
      <c r="G60" s="219" t="str">
        <f t="shared" si="58"/>
        <v/>
      </c>
      <c r="H60" s="220" t="str">
        <f t="shared" si="58"/>
        <v/>
      </c>
      <c r="I60" s="318" t="str">
        <f t="shared" ref="I60:I63" si="59">A60</f>
        <v/>
      </c>
      <c r="J60" s="278"/>
      <c r="K60" s="219" t="str">
        <f t="shared" ref="K60:P60" si="60">IF($G$12="oui",K21,"")</f>
        <v/>
      </c>
      <c r="L60" s="219" t="str">
        <f t="shared" si="60"/>
        <v/>
      </c>
      <c r="M60" s="219" t="str">
        <f t="shared" si="60"/>
        <v/>
      </c>
      <c r="N60" s="221" t="str">
        <f t="shared" si="60"/>
        <v/>
      </c>
      <c r="O60" s="219" t="str">
        <f t="shared" si="60"/>
        <v/>
      </c>
      <c r="P60" s="220" t="str">
        <f t="shared" si="60"/>
        <v/>
      </c>
      <c r="Q60" s="225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19" t="str">
        <f>IF(G12="oui","A) Nb. d'heures standard","")</f>
        <v/>
      </c>
      <c r="B61" s="279" t="str">
        <f>IF(G12="oui","h"," ")</f>
        <v xml:space="preserve"> </v>
      </c>
      <c r="C61" s="291" t="str">
        <f>IF($G$12="oui",(IF(DATEDIF($F$7,C$21,"Y")&lt;18,0,C26+C28)),"")</f>
        <v/>
      </c>
      <c r="D61" s="291" t="str">
        <f t="shared" ref="D61:H61" si="61">IF($G$12="oui",(IF(DATEDIF($F$7,D$21,"Y")&lt;18,0,D26+D28)),"")</f>
        <v/>
      </c>
      <c r="E61" s="291" t="str">
        <f t="shared" si="61"/>
        <v/>
      </c>
      <c r="F61" s="223" t="str">
        <f t="shared" si="61"/>
        <v/>
      </c>
      <c r="G61" s="223" t="str">
        <f t="shared" si="61"/>
        <v/>
      </c>
      <c r="H61" s="222" t="str">
        <f t="shared" si="61"/>
        <v/>
      </c>
      <c r="I61" s="320" t="str">
        <f t="shared" si="59"/>
        <v/>
      </c>
      <c r="J61" s="279" t="str">
        <f>B61</f>
        <v xml:space="preserve"> </v>
      </c>
      <c r="K61" s="223" t="str">
        <f t="shared" ref="K61:P61" si="62">IF($G$12="oui",(IF(DATEDIF($F$7,K$21,"Y")&lt;18,0,K26+K28)),"")</f>
        <v/>
      </c>
      <c r="L61" s="223" t="str">
        <f t="shared" si="62"/>
        <v/>
      </c>
      <c r="M61" s="223" t="str">
        <f t="shared" si="62"/>
        <v/>
      </c>
      <c r="N61" s="295" t="str">
        <f t="shared" si="62"/>
        <v/>
      </c>
      <c r="O61" s="223" t="str">
        <f t="shared" si="62"/>
        <v/>
      </c>
      <c r="P61" s="222" t="str">
        <f t="shared" si="62"/>
        <v/>
      </c>
      <c r="Q61" s="22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0" t="str">
        <f>IF(G12="oui","B) Nb. d'heures quali B","")</f>
        <v/>
      </c>
      <c r="B62" s="280" t="str">
        <f>IF(G12="oui","h"," ")</f>
        <v xml:space="preserve"> </v>
      </c>
      <c r="C62" s="291"/>
      <c r="D62" s="291"/>
      <c r="E62" s="291"/>
      <c r="F62" s="291"/>
      <c r="G62" s="291"/>
      <c r="H62" s="292"/>
      <c r="I62" s="320" t="str">
        <f t="shared" si="59"/>
        <v/>
      </c>
      <c r="J62" s="280" t="str">
        <f>B62</f>
        <v xml:space="preserve"> </v>
      </c>
      <c r="K62" s="223"/>
      <c r="L62" s="223"/>
      <c r="M62" s="223"/>
      <c r="N62" s="295"/>
      <c r="O62" s="223"/>
      <c r="P62" s="222"/>
      <c r="Q62" s="222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x14ac:dyDescent="0.2">
      <c r="A63" s="392" t="str">
        <f>IF($G$12="oui","C) Nb. d'engagements 
de nuit","")</f>
        <v/>
      </c>
      <c r="B63" s="393" t="str">
        <f>IF(G12="oui","Nb."," ")</f>
        <v xml:space="preserve"> </v>
      </c>
      <c r="C63" s="394" t="str">
        <f>IF($G$12="oui",(IF(DATEDIF($F$7,C$21,"Y")&lt;18,0,C25)),"")</f>
        <v/>
      </c>
      <c r="D63" s="394" t="str">
        <f t="shared" ref="D63:H63" si="63">IF($G$12="oui",(IF(DATEDIF($F$7,D$21,"Y")&lt;18,0,D25)),"")</f>
        <v/>
      </c>
      <c r="E63" s="394" t="str">
        <f t="shared" si="63"/>
        <v/>
      </c>
      <c r="F63" s="394" t="str">
        <f t="shared" si="63"/>
        <v/>
      </c>
      <c r="G63" s="394" t="str">
        <f t="shared" si="63"/>
        <v/>
      </c>
      <c r="H63" s="395" t="str">
        <f t="shared" si="63"/>
        <v/>
      </c>
      <c r="I63" s="392" t="str">
        <f t="shared" si="59"/>
        <v/>
      </c>
      <c r="J63" s="393" t="str">
        <f>B63</f>
        <v xml:space="preserve"> </v>
      </c>
      <c r="K63" s="394" t="str">
        <f t="shared" ref="K63:P63" si="64">IF($G$12="oui",(IF(DATEDIF($F$7,K$21,"Y")&lt;18,0,K25)),"")</f>
        <v/>
      </c>
      <c r="L63" s="394" t="str">
        <f t="shared" si="64"/>
        <v/>
      </c>
      <c r="M63" s="394" t="str">
        <f t="shared" si="64"/>
        <v/>
      </c>
      <c r="N63" s="396" t="str">
        <f t="shared" si="64"/>
        <v/>
      </c>
      <c r="O63" s="394" t="str">
        <f t="shared" si="64"/>
        <v/>
      </c>
      <c r="P63" s="395" t="str">
        <f t="shared" si="64"/>
        <v/>
      </c>
      <c r="Q63" s="397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1" customFormat="1" ht="15" customHeight="1" thickBot="1" x14ac:dyDescent="0.25">
      <c r="A64" s="433" t="str">
        <f>IF(G12="oui","Oblig. de verser le salaire","")</f>
        <v/>
      </c>
      <c r="B64" s="434"/>
      <c r="C64" s="293" t="str">
        <f>IF($G$12="oui",(IF(OR(C32&gt;0.1,C33&gt;0.1),"décompter","")),"")</f>
        <v/>
      </c>
      <c r="D64" s="293" t="str">
        <f t="shared" ref="D64:H64" si="65">IF($G$12="oui",(IF(OR(D32&gt;0.1,D33&gt;0.1),"décompter","")),"")</f>
        <v/>
      </c>
      <c r="E64" s="293" t="str">
        <f t="shared" si="65"/>
        <v/>
      </c>
      <c r="F64" s="293" t="str">
        <f t="shared" si="65"/>
        <v/>
      </c>
      <c r="G64" s="293" t="str">
        <f t="shared" si="65"/>
        <v/>
      </c>
      <c r="H64" s="294" t="str">
        <f t="shared" si="65"/>
        <v/>
      </c>
      <c r="I64" s="435" t="str">
        <f t="shared" ref="I64" si="66">A64</f>
        <v/>
      </c>
      <c r="J64" s="434"/>
      <c r="K64" s="293" t="str">
        <f t="shared" ref="K64:P64" si="67">IF($G$12="oui",(IF(OR(K32&gt;0.1,K33&gt;0.1),"décompter","")),"")</f>
        <v/>
      </c>
      <c r="L64" s="293" t="str">
        <f t="shared" si="67"/>
        <v/>
      </c>
      <c r="M64" s="293" t="str">
        <f t="shared" si="67"/>
        <v/>
      </c>
      <c r="N64" s="296" t="str">
        <f t="shared" si="67"/>
        <v/>
      </c>
      <c r="O64" s="293" t="str">
        <f t="shared" si="67"/>
        <v/>
      </c>
      <c r="P64" s="294" t="str">
        <f t="shared" si="67"/>
        <v/>
      </c>
      <c r="Q64" s="227" t="str">
        <f>IF($G$12="oui",SUM(C64:H64)+SUM(K64:P64),"")</f>
        <v/>
      </c>
      <c r="R64" s="398"/>
      <c r="S64" s="398"/>
      <c r="T64" s="398"/>
      <c r="U64" s="398"/>
      <c r="V64" s="398"/>
      <c r="W64" s="399"/>
      <c r="X64" s="400"/>
      <c r="Y64" s="400"/>
      <c r="Z64" s="400"/>
      <c r="AA64" s="400"/>
      <c r="AB64" s="400"/>
      <c r="AC64" s="400"/>
      <c r="AD64" s="400"/>
      <c r="AE64" s="400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6"/>
      <c r="Y65" s="226"/>
      <c r="Z65" s="226"/>
      <c r="AA65" s="226"/>
      <c r="AB65" s="226"/>
      <c r="AC65" s="226"/>
      <c r="AD65" s="226"/>
      <c r="AE65" s="226"/>
    </row>
    <row r="66" spans="1:31" ht="15" customHeight="1" x14ac:dyDescent="0.2">
      <c r="S66" s="62"/>
      <c r="T66" s="62"/>
      <c r="U66" s="62"/>
    </row>
  </sheetData>
  <sheetProtection algorithmName="SHA-512" hashValue="e1Jyq8xeZxuRSIw/9J6QQy1tNf+AaMLHlKREDinvL9FRRNnGJqbPrHBnoVJAswLoh5ReS9DJSnaEB75bkTyAzw==" saltValue="6LX1jc7WO0mVFBiP5/FTyA==" spinCount="100000" sheet="1" objects="1" scenarios="1"/>
  <mergeCells count="48">
    <mergeCell ref="D52:D53"/>
    <mergeCell ref="C52:C53"/>
    <mergeCell ref="S18:U18"/>
    <mergeCell ref="S41:U43"/>
    <mergeCell ref="S33:U35"/>
    <mergeCell ref="S28:U30"/>
    <mergeCell ref="S24:U26"/>
    <mergeCell ref="S36:U40"/>
    <mergeCell ref="AH4:AI5"/>
    <mergeCell ref="AD4:AD5"/>
    <mergeCell ref="AA2:AA5"/>
    <mergeCell ref="Y2:Y5"/>
    <mergeCell ref="X4:X5"/>
    <mergeCell ref="Z4:Z5"/>
    <mergeCell ref="AB4:AB5"/>
    <mergeCell ref="AC4:AC5"/>
    <mergeCell ref="S4:T4"/>
    <mergeCell ref="C9:D9"/>
    <mergeCell ref="F9:G9"/>
    <mergeCell ref="S31:U32"/>
    <mergeCell ref="A2:C2"/>
    <mergeCell ref="I2:K2"/>
    <mergeCell ref="C8:D8"/>
    <mergeCell ref="F8:G8"/>
    <mergeCell ref="D1:F2"/>
    <mergeCell ref="I1:K1"/>
    <mergeCell ref="C6:D6"/>
    <mergeCell ref="F6:G6"/>
    <mergeCell ref="C7:D7"/>
    <mergeCell ref="F15:G15"/>
    <mergeCell ref="F16:G16"/>
    <mergeCell ref="S20:U22"/>
    <mergeCell ref="A1:C1"/>
    <mergeCell ref="P1:Q3"/>
    <mergeCell ref="F7:G7"/>
    <mergeCell ref="P52:P53"/>
    <mergeCell ref="H52:H53"/>
    <mergeCell ref="K52:K53"/>
    <mergeCell ref="L52:L53"/>
    <mergeCell ref="M52:M53"/>
    <mergeCell ref="N52:N53"/>
    <mergeCell ref="O52:O53"/>
    <mergeCell ref="G52:G53"/>
    <mergeCell ref="F52:F53"/>
    <mergeCell ref="F14:G14"/>
    <mergeCell ref="L1:O2"/>
    <mergeCell ref="G1:H3"/>
    <mergeCell ref="E52:E53"/>
  </mergeCells>
  <conditionalFormatting sqref="A25">
    <cfRule type="beginsWith" dxfId="511" priority="45" operator="beginsWith" text="Nom">
      <formula>LEFT(A25,LEN("Nom"))="Nom"</formula>
    </cfRule>
  </conditionalFormatting>
  <conditionalFormatting sqref="A26">
    <cfRule type="containsText" dxfId="510" priority="160" operator="containsText" text="Nombre d'heures">
      <formula>NOT(ISERROR(SEARCH("Nombre d'heures",A26)))</formula>
    </cfRule>
  </conditionalFormatting>
  <conditionalFormatting sqref="A28">
    <cfRule type="containsText" dxfId="509" priority="180" operator="containsText" text="Nombre d'heures II">
      <formula>NOT(ISERROR(SEARCH("Nombre d'heures II",A28)))</formula>
    </cfRule>
  </conditionalFormatting>
  <conditionalFormatting sqref="A64:Q64">
    <cfRule type="expression" dxfId="508" priority="1">
      <formula>$G$12="non"</formula>
    </cfRule>
  </conditionalFormatting>
  <conditionalFormatting sqref="A24:B24">
    <cfRule type="expression" dxfId="507" priority="161">
      <formula>$G$11="oui"</formula>
    </cfRule>
  </conditionalFormatting>
  <conditionalFormatting sqref="A25:B25">
    <cfRule type="expression" dxfId="506" priority="70">
      <formula>$P$10&gt;0.1</formula>
    </cfRule>
  </conditionalFormatting>
  <conditionalFormatting sqref="A50:B50">
    <cfRule type="expression" dxfId="505" priority="117">
      <formula>$G$11="ja"</formula>
    </cfRule>
  </conditionalFormatting>
  <conditionalFormatting sqref="A60:Q63">
    <cfRule type="expression" dxfId="504" priority="61">
      <formula>$G$12="non"</formula>
    </cfRule>
  </conditionalFormatting>
  <conditionalFormatting sqref="B25">
    <cfRule type="beginsWith" dxfId="503" priority="44" operator="beginsWith" text="Nb">
      <formula>LEFT(B25,LEN("Nb"))="Nb"</formula>
    </cfRule>
  </conditionalFormatting>
  <conditionalFormatting sqref="B26">
    <cfRule type="containsText" dxfId="502" priority="67" operator="containsText" text="h">
      <formula>NOT(ISERROR(SEARCH("h",B26)))</formula>
    </cfRule>
  </conditionalFormatting>
  <conditionalFormatting sqref="B28">
    <cfRule type="containsText" dxfId="501" priority="64" operator="containsText" text="h">
      <formula>NOT(ISERROR(SEARCH("h",B28)))</formula>
    </cfRule>
  </conditionalFormatting>
  <conditionalFormatting sqref="C17">
    <cfRule type="expression" dxfId="500" priority="244">
      <formula>$A$17="13ème salaire"</formula>
    </cfRule>
  </conditionalFormatting>
  <conditionalFormatting sqref="C22:H22">
    <cfRule type="cellIs" dxfId="499" priority="199" operator="greaterThan">
      <formula>1</formula>
    </cfRule>
  </conditionalFormatting>
  <conditionalFormatting sqref="C23:H23 K23:P23">
    <cfRule type="expression" dxfId="498" priority="7">
      <formula>$B$23="CHF"</formula>
    </cfRule>
  </conditionalFormatting>
  <conditionalFormatting sqref="C24:H24 K24:P24">
    <cfRule type="expression" dxfId="497" priority="114">
      <formula>$G$11="oui"</formula>
    </cfRule>
  </conditionalFormatting>
  <conditionalFormatting sqref="C25:H25 K25:P25">
    <cfRule type="expression" dxfId="496" priority="2">
      <formula>$B$25="Nb."</formula>
    </cfRule>
  </conditionalFormatting>
  <conditionalFormatting sqref="C26:H26 K26:P26">
    <cfRule type="expression" dxfId="495" priority="111">
      <formula>$G$12="oui"</formula>
    </cfRule>
    <cfRule type="expression" dxfId="494" priority="112">
      <formula>$C$16="Salaire horaire"</formula>
    </cfRule>
  </conditionalFormatting>
  <conditionalFormatting sqref="C28:H28 K28:P28">
    <cfRule type="expression" dxfId="493" priority="115">
      <formula>$G$10="oui"</formula>
    </cfRule>
  </conditionalFormatting>
  <conditionalFormatting sqref="C50:H50">
    <cfRule type="expression" dxfId="492" priority="83">
      <formula>C51&gt;0.01</formula>
    </cfRule>
    <cfRule type="expression" dxfId="491" priority="84">
      <formula>C51&lt;-0.01</formula>
    </cfRule>
  </conditionalFormatting>
  <conditionalFormatting sqref="C51:H51">
    <cfRule type="cellIs" dxfId="490" priority="102" operator="greaterThan">
      <formula>0.04</formula>
    </cfRule>
    <cfRule type="cellIs" dxfId="489" priority="101" operator="lessThan">
      <formula>-0.04</formula>
    </cfRule>
  </conditionalFormatting>
  <conditionalFormatting sqref="G1">
    <cfRule type="containsText" dxfId="488" priority="24" operator="containsText" text="Attention faute">
      <formula>NOT(ISERROR(SEARCH("Attention faute",G1)))</formula>
    </cfRule>
  </conditionalFormatting>
  <conditionalFormatting sqref="G10">
    <cfRule type="expression" dxfId="487" priority="8">
      <formula>$C$16="Salaire horaire"</formula>
    </cfRule>
  </conditionalFormatting>
  <conditionalFormatting sqref="H17:H18 S24">
    <cfRule type="beginsWith" dxfId="486" priority="190" operator="beginsWith" text="ATT">
      <formula>LEFT(H17,LEN("ATT"))="ATT"</formula>
    </cfRule>
  </conditionalFormatting>
  <conditionalFormatting sqref="I25">
    <cfRule type="beginsWith" dxfId="485" priority="4" operator="beginsWith" text="Nom">
      <formula>LEFT(I25,LEN("Nom"))="Nom"</formula>
    </cfRule>
  </conditionalFormatting>
  <conditionalFormatting sqref="I26">
    <cfRule type="containsText" dxfId="484" priority="15" operator="containsText" text="Nombre d'heures">
      <formula>NOT(ISERROR(SEARCH("Nombre d'heures",I26)))</formula>
    </cfRule>
  </conditionalFormatting>
  <conditionalFormatting sqref="I28">
    <cfRule type="containsText" dxfId="483" priority="17" operator="containsText" text="Nombre d'heures II">
      <formula>NOT(ISERROR(SEARCH("Nombre d'heures II",I28)))</formula>
    </cfRule>
  </conditionalFormatting>
  <conditionalFormatting sqref="I24:J24">
    <cfRule type="expression" dxfId="482" priority="16">
      <formula>$G$11="oui"</formula>
    </cfRule>
  </conditionalFormatting>
  <conditionalFormatting sqref="I25:J25">
    <cfRule type="expression" dxfId="481" priority="5">
      <formula>$P$10&gt;0.1</formula>
    </cfRule>
  </conditionalFormatting>
  <conditionalFormatting sqref="I50:J50">
    <cfRule type="expression" dxfId="480" priority="59">
      <formula>$G$11="ja"</formula>
    </cfRule>
  </conditionalFormatting>
  <conditionalFormatting sqref="J25">
    <cfRule type="beginsWith" dxfId="479" priority="3" operator="beginsWith" text="Nb">
      <formula>LEFT(J25,LEN("Nb"))="Nb"</formula>
    </cfRule>
  </conditionalFormatting>
  <conditionalFormatting sqref="J26">
    <cfRule type="containsText" dxfId="478" priority="13" operator="containsText" text="h">
      <formula>NOT(ISERROR(SEARCH("h",J26)))</formula>
    </cfRule>
  </conditionalFormatting>
  <conditionalFormatting sqref="J28">
    <cfRule type="containsText" dxfId="477" priority="12" operator="containsText" text="h">
      <formula>NOT(ISERROR(SEARCH("h",J28)))</formula>
    </cfRule>
  </conditionalFormatting>
  <conditionalFormatting sqref="K22:P22">
    <cfRule type="cellIs" dxfId="476" priority="200" operator="greaterThan">
      <formula>1</formula>
    </cfRule>
  </conditionalFormatting>
  <conditionalFormatting sqref="K50:P50">
    <cfRule type="expression" dxfId="475" priority="72">
      <formula>K51&lt;-0.01</formula>
    </cfRule>
    <cfRule type="expression" dxfId="474" priority="71">
      <formula>K51&gt;0.01</formula>
    </cfRule>
  </conditionalFormatting>
  <conditionalFormatting sqref="K51:P51">
    <cfRule type="cellIs" dxfId="473" priority="98" operator="greaterThan">
      <formula>0.04</formula>
    </cfRule>
    <cfRule type="cellIs" dxfId="472" priority="97" operator="lessThan">
      <formula>-0.04</formula>
    </cfRule>
  </conditionalFormatting>
  <conditionalFormatting sqref="L7">
    <cfRule type="expression" dxfId="471" priority="107">
      <formula>$C$16="à choisir"</formula>
    </cfRule>
  </conditionalFormatting>
  <conditionalFormatting sqref="L12">
    <cfRule type="expression" dxfId="470" priority="185">
      <formula>$G$10="oui"</formula>
    </cfRule>
  </conditionalFormatting>
  <conditionalFormatting sqref="M8">
    <cfRule type="expression" dxfId="469" priority="105">
      <formula>$C$16="Salaire horaire"</formula>
    </cfRule>
    <cfRule type="expression" dxfId="468" priority="39">
      <formula>$C$16="salaire mensuel"</formula>
    </cfRule>
  </conditionalFormatting>
  <conditionalFormatting sqref="M13">
    <cfRule type="expression" dxfId="467" priority="155">
      <formula>$G$10="oui"</formula>
    </cfRule>
  </conditionalFormatting>
  <conditionalFormatting sqref="P1">
    <cfRule type="containsText" dxfId="466" priority="9" operator="containsText" text="Attention faute">
      <formula>NOT(ISERROR(SEARCH("Attention faute",P1)))</formula>
    </cfRule>
  </conditionalFormatting>
  <conditionalFormatting sqref="P7">
    <cfRule type="expression" dxfId="465" priority="162">
      <formula>$Q$7="du Sal.horaire"</formula>
    </cfRule>
  </conditionalFormatting>
  <conditionalFormatting sqref="P10">
    <cfRule type="expression" dxfId="464" priority="187">
      <formula>$Q$10="heures"</formula>
    </cfRule>
  </conditionalFormatting>
  <conditionalFormatting sqref="S20">
    <cfRule type="beginsWith" dxfId="463" priority="192" operator="beginsWith" text="Rema">
      <formula>LEFT(S20,LEN("Rema"))="Rema"</formula>
    </cfRule>
    <cfRule type="beginsWith" dxfId="462" priority="193" operator="beginsWith" text="La">
      <formula>LEFT(S20,LEN("La"))="La"</formula>
    </cfRule>
    <cfRule type="beginsWith" dxfId="461" priority="191" operator="beginsWith" text="Ni">
      <formula>LEFT(S20,LEN("Ni"))="Ni"</formula>
    </cfRule>
  </conditionalFormatting>
  <conditionalFormatting sqref="S28">
    <cfRule type="beginsWith" dxfId="460" priority="189" operator="beginsWith" text="ATT">
      <formula>LEFT(S28,LEN("ATT"))="ATT"</formula>
    </cfRule>
  </conditionalFormatting>
  <conditionalFormatting sqref="S36:S37">
    <cfRule type="beginsWith" dxfId="459" priority="194" operator="beginsWith" text="Att">
      <formula>LEFT(S36,LEN("Att"))="Att"</formula>
    </cfRule>
  </conditionalFormatting>
  <dataValidations disablePrompts="1" count="7">
    <dataValidation type="list" allowBlank="1" showInputMessage="1" showErrorMessage="1" sqref="C10" xr:uid="{59BC4F44-FA67-4230-B122-A28F63EB7E4E}">
      <formula1>$X$6:$X$8</formula1>
    </dataValidation>
    <dataValidation type="list" allowBlank="1" showInputMessage="1" showErrorMessage="1" sqref="C17" xr:uid="{00000000-0002-0000-0100-000004000000}">
      <formula1>$Y$11:$Y$12</formula1>
    </dataValidation>
    <dataValidation type="list" allowBlank="1" showInputMessage="1" showErrorMessage="1" sqref="G10" xr:uid="{5B8569FA-6EF9-4936-A4C0-C64E02C9AAEF}">
      <formula1>$AC$13:$AC$14</formula1>
    </dataValidation>
    <dataValidation type="list" allowBlank="1" showInputMessage="1" showErrorMessage="1" sqref="F9:G9" xr:uid="{00000000-0002-0000-0100-000006000000}">
      <formula1>$AB$6:$AB$19</formula1>
    </dataValidation>
    <dataValidation type="list" allowBlank="1" showInputMessage="1" showErrorMessage="1" sqref="C16" xr:uid="{0A951234-F3A5-4750-AFFF-DE1C61DA16DF}">
      <formula1>$X$11:$X$13</formula1>
    </dataValidation>
    <dataValidation type="list" allowBlank="1" showInputMessage="1" showErrorMessage="1" sqref="G11:G12" xr:uid="{A5F1D882-9630-42DC-852C-9FCC0A72646D}">
      <formula1>$AH$6:$AH$8</formula1>
    </dataValidation>
    <dataValidation type="list" allowBlank="1" showInputMessage="1" showErrorMessage="1" sqref="G13" xr:uid="{4690D04A-FD3B-4E75-B55C-211C2CA625AF}">
      <formula1>$Y$6:$Y$8</formula1>
    </dataValidation>
  </dataValidations>
  <hyperlinks>
    <hyperlink ref="G1:H3" location="Fehler1" display="Fehler1" xr:uid="{00000000-0004-0000-0100-000000000000}"/>
    <hyperlink ref="P1:Q3" location="Fehler1" display="Fehler1" xr:uid="{0364F217-5B63-4137-A1A6-6016C2B0FFA9}"/>
  </hyperlinks>
  <pageMargins left="0.39370078740157483" right="0.39370078740157483" top="0.78740157480314965" bottom="0.39370078740157483" header="0.15748031496062992" footer="0.19685039370078741"/>
  <pageSetup paperSize="9" scale="86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V7.0</oddFooter>
  </headerFooter>
  <colBreaks count="1" manualBreakCount="1">
    <brk id="8" max="6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BD"/>
    <pageSetUpPr fitToPage="1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19.7109375" style="1" customWidth="1"/>
    <col min="10" max="10" width="4.5703125" style="1" bestFit="1" customWidth="1"/>
    <col min="11" max="16" width="12.28515625" style="1" customWidth="1"/>
    <col min="17" max="17" width="13.28515625" style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hidden="1" customWidth="1"/>
    <col min="38" max="16384" width="11.42578125" style="1"/>
  </cols>
  <sheetData>
    <row r="1" spans="1:35" ht="12.75" customHeight="1" x14ac:dyDescent="0.2">
      <c r="A1" s="443" t="str">
        <f>'PA 1'!A1:C1</f>
        <v>Nom/Prénom employeur</v>
      </c>
      <c r="B1" s="443"/>
      <c r="C1" s="443"/>
      <c r="D1" s="453">
        <v>45657</v>
      </c>
      <c r="E1" s="453"/>
      <c r="F1" s="453"/>
      <c r="G1" s="444" t="str">
        <f>IF($W45&gt;4,"Attention erreur!",IF($W$45&gt;0,"Attention remarque!",""))</f>
        <v/>
      </c>
      <c r="H1" s="444"/>
      <c r="I1" s="460" t="str">
        <f>A1</f>
        <v>Nom/Prénom employeur</v>
      </c>
      <c r="J1" s="460"/>
      <c r="K1" s="460"/>
      <c r="L1" s="453">
        <f>D1</f>
        <v>45657</v>
      </c>
      <c r="M1" s="453"/>
      <c r="N1" s="453"/>
      <c r="O1" s="453"/>
      <c r="P1" s="444" t="str">
        <f>IF($W45&gt;4,"Attention erreur!",IF($W$45&gt;0,"Attention remarque!",""))</f>
        <v/>
      </c>
      <c r="Q1" s="444"/>
      <c r="S1" s="246" t="s">
        <v>47</v>
      </c>
      <c r="T1" s="260"/>
      <c r="U1" s="361" t="s">
        <v>48</v>
      </c>
      <c r="V1" s="362" t="s">
        <v>49</v>
      </c>
      <c r="W1" s="68"/>
      <c r="AE1" s="1"/>
    </row>
    <row r="2" spans="1:35" ht="12.75" customHeight="1" x14ac:dyDescent="0.2">
      <c r="A2" s="443" t="str">
        <f>'PA 1'!A2:C2</f>
        <v>Lieu employeur</v>
      </c>
      <c r="B2" s="443"/>
      <c r="C2" s="443"/>
      <c r="D2" s="453"/>
      <c r="E2" s="453"/>
      <c r="F2" s="453"/>
      <c r="G2" s="444"/>
      <c r="H2" s="444"/>
      <c r="I2" s="460" t="str">
        <f>A2</f>
        <v>Lieu employeur</v>
      </c>
      <c r="J2" s="460"/>
      <c r="K2" s="460"/>
      <c r="L2" s="453"/>
      <c r="M2" s="453"/>
      <c r="N2" s="453"/>
      <c r="O2" s="453"/>
      <c r="P2" s="444"/>
      <c r="Q2" s="444"/>
      <c r="S2" s="249" t="s">
        <v>51</v>
      </c>
      <c r="T2" s="2"/>
      <c r="U2" s="218">
        <f>IF(C16="Salaire horaire",(M8*M7*52)+(M13*M12*52),(M8+Y13)*12)</f>
        <v>0</v>
      </c>
      <c r="V2" s="261"/>
      <c r="W2" s="68"/>
      <c r="Y2" s="466" t="s">
        <v>52</v>
      </c>
      <c r="AA2" s="466" t="s">
        <v>53</v>
      </c>
      <c r="AE2" s="1"/>
    </row>
    <row r="3" spans="1:35" ht="5.0999999999999996" customHeight="1" x14ac:dyDescent="0.2">
      <c r="G3" s="444"/>
      <c r="H3" s="444"/>
      <c r="P3" s="444"/>
      <c r="Q3" s="444"/>
      <c r="S3" s="254"/>
      <c r="V3" s="250"/>
      <c r="W3" s="68"/>
      <c r="Y3" s="466"/>
      <c r="AA3" s="466"/>
      <c r="AE3" s="1"/>
    </row>
    <row r="4" spans="1:35" ht="15.75" customHeight="1" thickBot="1" x14ac:dyDescent="0.3">
      <c r="A4" s="41" t="s">
        <v>54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0" t="s">
        <v>55</v>
      </c>
      <c r="J4" s="360"/>
      <c r="K4" s="360"/>
      <c r="L4" s="360"/>
      <c r="M4" s="42"/>
      <c r="N4" s="42"/>
      <c r="O4" s="42"/>
      <c r="P4" s="42"/>
      <c r="Q4" s="51" t="str">
        <f>CONCATENATE($C$6," ",$C$7)</f>
        <v xml:space="preserve"> </v>
      </c>
      <c r="S4" s="454" t="s">
        <v>56</v>
      </c>
      <c r="T4" s="455"/>
      <c r="U4" s="262">
        <f>((U2-(U2*SUM(T8:T14,T16,Y9)+(12*T15)))*Z14)</f>
        <v>0</v>
      </c>
      <c r="V4" s="263">
        <f>U4/365</f>
        <v>0</v>
      </c>
      <c r="W4" s="68"/>
      <c r="X4" s="464" t="s">
        <v>57</v>
      </c>
      <c r="Y4" s="466"/>
      <c r="Z4" s="464" t="s">
        <v>58</v>
      </c>
      <c r="AA4" s="466"/>
      <c r="AB4" s="467" t="s">
        <v>59</v>
      </c>
      <c r="AC4" s="468" t="s">
        <v>60</v>
      </c>
      <c r="AD4" s="465" t="s">
        <v>61</v>
      </c>
      <c r="AE4" s="1"/>
      <c r="AH4" s="464" t="s">
        <v>62</v>
      </c>
      <c r="AI4" s="464"/>
    </row>
    <row r="5" spans="1:35" ht="5.0999999999999996" customHeight="1" x14ac:dyDescent="0.2">
      <c r="X5" s="464"/>
      <c r="Y5" s="466"/>
      <c r="Z5" s="464"/>
      <c r="AA5" s="466"/>
      <c r="AB5" s="467"/>
      <c r="AC5" s="468"/>
      <c r="AD5" s="465"/>
      <c r="AE5" s="2"/>
      <c r="AF5" s="4"/>
      <c r="AG5" s="48"/>
      <c r="AH5" s="464"/>
      <c r="AI5" s="464"/>
    </row>
    <row r="6" spans="1:35" s="2" customFormat="1" ht="13.5" thickBot="1" x14ac:dyDescent="0.25">
      <c r="A6" s="2" t="s">
        <v>63</v>
      </c>
      <c r="C6" s="452"/>
      <c r="D6" s="452"/>
      <c r="E6" s="2" t="s">
        <v>64</v>
      </c>
      <c r="F6" s="445"/>
      <c r="G6" s="445"/>
      <c r="I6" s="6" t="s">
        <v>65</v>
      </c>
      <c r="N6" s="6" t="str">
        <f>IF(AND(C16="Salaire horaire",G11="oui"),"Calcul de l'indemnité les heures de garde","")</f>
        <v/>
      </c>
      <c r="W6" s="180"/>
      <c r="X6" s="2" t="s">
        <v>66</v>
      </c>
      <c r="Y6" s="2" t="s">
        <v>66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28" t="s">
        <v>66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67</v>
      </c>
      <c r="AG6" s="49"/>
      <c r="AH6" s="2" t="s">
        <v>66</v>
      </c>
    </row>
    <row r="7" spans="1:35" s="2" customFormat="1" x14ac:dyDescent="0.2">
      <c r="A7" s="2" t="s">
        <v>68</v>
      </c>
      <c r="C7" s="452"/>
      <c r="D7" s="452"/>
      <c r="E7" s="2" t="s">
        <v>69</v>
      </c>
      <c r="F7" s="445"/>
      <c r="G7" s="445"/>
      <c r="I7" s="2" t="str">
        <f>IF(C16="Salaire horaire",IF(G10="oui","Taux d'occupation I","Taux d'occupation"),IF(C16="Salaire mensuel","Taux d'occupation",""))</f>
        <v/>
      </c>
      <c r="L7" s="406"/>
      <c r="M7" s="371">
        <f>42*L7</f>
        <v>0</v>
      </c>
      <c r="N7" s="2" t="str">
        <f>IF(AND(C16="Salaire horaire",G11="oui"),"1 heure de garde =","")</f>
        <v/>
      </c>
      <c r="P7" s="304"/>
      <c r="Q7" s="2" t="str">
        <f>IF(AND(C16="Salaire horaire",G11="oui"),"du Sal.horaire","")</f>
        <v/>
      </c>
      <c r="S7" s="246" t="s">
        <v>70</v>
      </c>
      <c r="T7" s="247" t="s">
        <v>71</v>
      </c>
      <c r="U7" s="248"/>
      <c r="W7" s="1"/>
      <c r="X7" s="2" t="s">
        <v>72</v>
      </c>
      <c r="Y7" s="2" t="s">
        <v>73</v>
      </c>
      <c r="Z7" s="59" t="str">
        <f>IF(OR(G13="ordinaire",G13="à choisir"),"ordinaire","")</f>
        <v>ordinaire</v>
      </c>
      <c r="AA7" s="59"/>
      <c r="AB7" s="59" t="s">
        <v>74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75</v>
      </c>
      <c r="AG7" s="49">
        <f>IF(C16="Salaire horaire",(M7*52/12)*12*M8,(M8)*12)</f>
        <v>0</v>
      </c>
      <c r="AH7" s="2" t="s">
        <v>76</v>
      </c>
    </row>
    <row r="8" spans="1:35" s="2" customFormat="1" ht="12" customHeight="1" x14ac:dyDescent="0.2">
      <c r="A8" s="2" t="s">
        <v>77</v>
      </c>
      <c r="C8" s="452"/>
      <c r="D8" s="452"/>
      <c r="E8" s="2" t="s">
        <v>78</v>
      </c>
      <c r="F8" s="452"/>
      <c r="G8" s="452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5"/>
      <c r="S8" s="249" t="s">
        <v>79</v>
      </c>
      <c r="T8" s="251">
        <f>IF(F7="",0,IF(DATEDIF($F$7,D1,"Y")&lt;18,0,5.3%))</f>
        <v>0</v>
      </c>
      <c r="U8" s="250"/>
      <c r="W8" s="152"/>
      <c r="X8" s="2" t="s">
        <v>80</v>
      </c>
      <c r="Y8" s="59" t="s">
        <v>81</v>
      </c>
      <c r="Z8" s="59"/>
      <c r="AB8" s="59" t="s">
        <v>82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83</v>
      </c>
    </row>
    <row r="9" spans="1:35" s="2" customFormat="1" x14ac:dyDescent="0.2">
      <c r="A9" s="2" t="s">
        <v>84</v>
      </c>
      <c r="C9" s="452"/>
      <c r="D9" s="452"/>
      <c r="E9" s="2" t="s">
        <v>85</v>
      </c>
      <c r="F9" s="456" t="s">
        <v>66</v>
      </c>
      <c r="G9" s="456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3" t="str">
        <f>IF($C$16="Salaire horaire",M8/(1+L9)*L9,"")</f>
        <v/>
      </c>
      <c r="N9" s="6" t="str">
        <f>IF(C16="Salaire horaire","Conversion des engagements de nuit en heures","")</f>
        <v/>
      </c>
      <c r="S9" s="249" t="s">
        <v>86</v>
      </c>
      <c r="T9" s="251">
        <f>IF(DATEDIF($F$7,D1,"Y")&lt;18,0,IF(DATEDIF($F$7,C21,"Y")&gt;(IF($C$10="féminin",63,64)),0,1.1%))</f>
        <v>0</v>
      </c>
      <c r="U9" s="252"/>
      <c r="W9" s="181"/>
      <c r="Y9" s="75">
        <f>IF(G13="à choisir",0,IF(AND(Z6="simplifiée",'PA 1'!Z6="simplifiée",'PA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87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88</v>
      </c>
      <c r="C10" s="405" t="s">
        <v>66</v>
      </c>
      <c r="E10" s="2" t="str">
        <f>IF(C16="Salaire horaire","Avez-vous 2 différents sal. horaire?","")</f>
        <v/>
      </c>
      <c r="G10" s="427"/>
      <c r="H10" s="168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4" t="str">
        <f>IF($C$16="Salaire horaire",M8-M9,"")</f>
        <v/>
      </c>
      <c r="N10" s="2" t="str">
        <f>IF(C16="Salaire horaire","1 nuit correspond à","")</f>
        <v/>
      </c>
      <c r="P10" s="264"/>
      <c r="Q10" s="2" t="str">
        <f>IF(C16="Salaire horaire","heures","")</f>
        <v/>
      </c>
      <c r="S10" s="249"/>
      <c r="T10" s="251"/>
      <c r="U10" s="252"/>
      <c r="W10" s="1"/>
      <c r="X10" s="6" t="s">
        <v>89</v>
      </c>
      <c r="Y10" s="6" t="s">
        <v>90</v>
      </c>
      <c r="Z10" s="64" t="s">
        <v>91</v>
      </c>
      <c r="AB10" s="59" t="s">
        <v>92</v>
      </c>
      <c r="AD10" s="59" t="e">
        <f>ROUND(M8/L7,0)</f>
        <v>#DIV/0!</v>
      </c>
    </row>
    <row r="11" spans="1:35" s="2" customFormat="1" ht="13.5" customHeight="1" x14ac:dyDescent="0.2">
      <c r="A11" s="2" t="s">
        <v>93</v>
      </c>
      <c r="C11" s="405"/>
      <c r="E11" s="2" t="s">
        <v>94</v>
      </c>
      <c r="G11" s="405" t="s">
        <v>66</v>
      </c>
      <c r="S11" s="249" t="s">
        <v>95</v>
      </c>
      <c r="T11" s="407"/>
      <c r="U11" s="253" t="s">
        <v>96</v>
      </c>
      <c r="W11" s="1"/>
      <c r="X11" s="2" t="s">
        <v>66</v>
      </c>
      <c r="Y11" s="2" t="str">
        <f>IF(C16="Salaire mensuel","oui","")</f>
        <v/>
      </c>
      <c r="Z11" s="179">
        <f>IF(G13="simplifiée",126.8%,0)</f>
        <v>0</v>
      </c>
      <c r="AB11" s="59" t="s">
        <v>97</v>
      </c>
      <c r="AD11" s="59"/>
    </row>
    <row r="12" spans="1:35" s="2" customFormat="1" ht="13.5" customHeight="1" x14ac:dyDescent="0.2">
      <c r="A12" s="2" t="s">
        <v>98</v>
      </c>
      <c r="C12" s="405"/>
      <c r="E12" s="2" t="s">
        <v>99</v>
      </c>
      <c r="G12" s="405" t="s">
        <v>66</v>
      </c>
      <c r="I12" s="2" t="str">
        <f>IF(G10="oui","Taux d'occupation II","")</f>
        <v/>
      </c>
      <c r="L12" s="217"/>
      <c r="M12" s="242">
        <f>42*L12</f>
        <v>0</v>
      </c>
      <c r="S12" s="249"/>
      <c r="T12" s="1"/>
      <c r="U12" s="250"/>
      <c r="W12" s="1"/>
      <c r="X12" s="2" t="s">
        <v>100</v>
      </c>
      <c r="Y12" s="2" t="str">
        <f>IF(C16="Salaire mensuel","non","")</f>
        <v/>
      </c>
      <c r="Z12" s="179">
        <f>IF(AND(G13="ordinaire",T15=0,T16=0),119.9%,0)</f>
        <v>0</v>
      </c>
      <c r="AA12" s="59"/>
      <c r="AB12" s="59" t="s">
        <v>101</v>
      </c>
      <c r="AC12" s="64" t="s">
        <v>102</v>
      </c>
      <c r="AD12" s="59"/>
    </row>
    <row r="13" spans="1:35" s="2" customFormat="1" ht="12.75" customHeight="1" x14ac:dyDescent="0.2">
      <c r="A13" s="2" t="s">
        <v>103</v>
      </c>
      <c r="C13" s="405"/>
      <c r="E13" s="2" t="s">
        <v>104</v>
      </c>
      <c r="G13" s="405" t="s">
        <v>66</v>
      </c>
      <c r="I13" s="5" t="str">
        <f>IF(G10="oui","Salaire horaire II (avec Suppl. vacances)","")</f>
        <v/>
      </c>
      <c r="L13" s="4"/>
      <c r="M13" s="245"/>
      <c r="S13" s="249" t="s">
        <v>105</v>
      </c>
      <c r="T13" s="408"/>
      <c r="U13" s="253" t="s">
        <v>96</v>
      </c>
      <c r="W13" s="68"/>
      <c r="X13" s="2" t="s">
        <v>106</v>
      </c>
      <c r="Y13" s="2">
        <f>IF(C17="oui",M8/12,0)</f>
        <v>0</v>
      </c>
      <c r="Z13" s="179">
        <f>IF(OR(T15&gt;0,T16&gt;0),129.2%,0)</f>
        <v>0</v>
      </c>
      <c r="AA13" s="59"/>
      <c r="AB13" s="59" t="s">
        <v>107</v>
      </c>
      <c r="AC13" s="59" t="s">
        <v>76</v>
      </c>
      <c r="AD13" s="59"/>
    </row>
    <row r="14" spans="1:35" s="2" customFormat="1" ht="12.75" customHeight="1" x14ac:dyDescent="0.2">
      <c r="A14" s="2" t="s">
        <v>108</v>
      </c>
      <c r="C14" s="409"/>
      <c r="E14" s="2" t="s">
        <v>109</v>
      </c>
      <c r="F14" s="452"/>
      <c r="G14" s="452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3" t="str">
        <f>IF(G10="oui",M13/(1+L14)*L14,"")</f>
        <v/>
      </c>
      <c r="S14" s="254"/>
      <c r="T14" s="1"/>
      <c r="U14" s="250"/>
      <c r="W14" s="68"/>
      <c r="Y14" s="151">
        <f>M8</f>
        <v>0</v>
      </c>
      <c r="Z14" s="179">
        <f>SUM(Z11:Z13)</f>
        <v>0</v>
      </c>
      <c r="AA14" s="59"/>
      <c r="AB14" s="58" t="s">
        <v>110</v>
      </c>
      <c r="AC14" s="59" t="s">
        <v>83</v>
      </c>
      <c r="AD14" s="59"/>
    </row>
    <row r="15" spans="1:35" s="2" customFormat="1" ht="12.75" customHeight="1" x14ac:dyDescent="0.2">
      <c r="A15" s="2" t="s">
        <v>111</v>
      </c>
      <c r="C15" s="409"/>
      <c r="E15" s="2" t="s">
        <v>112</v>
      </c>
      <c r="F15" s="452"/>
      <c r="G15" s="452"/>
      <c r="I15" s="5" t="str">
        <f>IF(G10="oui","Salaire horaire II (sans Suppl. vacances)","")</f>
        <v/>
      </c>
      <c r="M15" s="244" t="str">
        <f>IF(G10="oui",M13-M14,"")</f>
        <v/>
      </c>
      <c r="S15" s="249" t="s">
        <v>113</v>
      </c>
      <c r="T15" s="410"/>
      <c r="U15" s="255" t="s">
        <v>114</v>
      </c>
      <c r="W15" s="1"/>
      <c r="Y15" s="2">
        <f>SUM(Y13:Y14)</f>
        <v>0</v>
      </c>
      <c r="Z15" s="59"/>
      <c r="AA15" s="59"/>
      <c r="AB15" s="59" t="s">
        <v>115</v>
      </c>
      <c r="AD15" s="59"/>
    </row>
    <row r="16" spans="1:35" s="2" customFormat="1" ht="12.75" customHeight="1" thickBot="1" x14ac:dyDescent="0.25">
      <c r="A16" s="2" t="s">
        <v>116</v>
      </c>
      <c r="C16" s="405" t="s">
        <v>66</v>
      </c>
      <c r="E16" s="2" t="s">
        <v>117</v>
      </c>
      <c r="F16" s="452"/>
      <c r="G16" s="452"/>
      <c r="S16" s="256" t="s">
        <v>118</v>
      </c>
      <c r="T16" s="411"/>
      <c r="U16" s="257" t="s">
        <v>119</v>
      </c>
      <c r="W16" s="1"/>
      <c r="Z16" s="59"/>
      <c r="AA16" s="59"/>
      <c r="AB16" s="58" t="s">
        <v>120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27"/>
      <c r="D17" s="168" t="str">
        <f>IF(C17&gt;1,"",IF(A17="13ème salaire","à choisir",""))</f>
        <v/>
      </c>
      <c r="H17" s="167"/>
      <c r="W17" s="1"/>
      <c r="X17" s="59"/>
      <c r="Y17" s="59"/>
      <c r="Z17" s="59"/>
      <c r="AA17" s="59"/>
      <c r="AB17" s="59" t="s">
        <v>121</v>
      </c>
      <c r="AC17" s="59"/>
      <c r="AD17" s="59"/>
    </row>
    <row r="18" spans="1:37" s="2" customFormat="1" x14ac:dyDescent="0.2">
      <c r="H18" s="167"/>
      <c r="M18" s="167"/>
      <c r="S18" s="469" t="s">
        <v>122</v>
      </c>
      <c r="T18" s="470"/>
      <c r="U18" s="471"/>
      <c r="V18" s="334"/>
      <c r="X18" s="153"/>
      <c r="Y18" s="154"/>
      <c r="Z18" s="59"/>
      <c r="AA18" s="59"/>
      <c r="AB18" s="2" t="s">
        <v>123</v>
      </c>
      <c r="AD18" s="59"/>
      <c r="AE18" s="59"/>
    </row>
    <row r="19" spans="1:37" s="2" customFormat="1" ht="15" x14ac:dyDescent="0.25">
      <c r="A19" s="41" t="s">
        <v>124</v>
      </c>
      <c r="B19" s="41"/>
      <c r="C19" s="52"/>
      <c r="D19" s="52"/>
      <c r="E19" s="52"/>
      <c r="F19" s="52"/>
      <c r="G19" s="52"/>
      <c r="H19" s="52"/>
      <c r="I19" s="41" t="s">
        <v>124</v>
      </c>
      <c r="J19" s="41"/>
      <c r="K19" s="52"/>
      <c r="L19" s="52"/>
      <c r="M19" s="52"/>
      <c r="N19" s="52"/>
      <c r="O19" s="52"/>
      <c r="P19" s="52"/>
      <c r="Q19" s="52"/>
      <c r="S19" s="258"/>
      <c r="U19" s="259"/>
      <c r="X19" s="153"/>
      <c r="Y19" s="154"/>
      <c r="Z19" s="59"/>
      <c r="AA19" s="59"/>
      <c r="AB19" s="59" t="s">
        <v>125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2"/>
      <c r="U20" s="463"/>
      <c r="V20" s="404"/>
      <c r="X20" s="153"/>
      <c r="Y20" s="154"/>
      <c r="Z20" s="59"/>
      <c r="AA20" s="59"/>
      <c r="AB20" s="59"/>
      <c r="AD20" s="59"/>
      <c r="AE20" s="59"/>
    </row>
    <row r="21" spans="1:37" s="2" customFormat="1" ht="12" x14ac:dyDescent="0.2">
      <c r="A21" s="306">
        <f>D1</f>
        <v>45657</v>
      </c>
      <c r="B21" s="265"/>
      <c r="C21" s="82">
        <v>45292</v>
      </c>
      <c r="D21" s="82">
        <v>45323</v>
      </c>
      <c r="E21" s="82">
        <v>45352</v>
      </c>
      <c r="F21" s="82">
        <v>45383</v>
      </c>
      <c r="G21" s="82">
        <v>45413</v>
      </c>
      <c r="H21" s="69">
        <v>45444</v>
      </c>
      <c r="I21" s="306">
        <f t="shared" ref="I21:I52" si="0">A21</f>
        <v>45657</v>
      </c>
      <c r="J21" s="265"/>
      <c r="K21" s="82">
        <v>45474</v>
      </c>
      <c r="L21" s="82">
        <v>45505</v>
      </c>
      <c r="M21" s="82">
        <v>45536</v>
      </c>
      <c r="N21" s="82">
        <v>45566</v>
      </c>
      <c r="O21" s="82">
        <v>45597</v>
      </c>
      <c r="P21" s="69">
        <v>45627</v>
      </c>
      <c r="Q21" s="97" t="s">
        <v>126</v>
      </c>
      <c r="S21" s="461"/>
      <c r="T21" s="462"/>
      <c r="U21" s="463"/>
      <c r="V21" s="404"/>
      <c r="W21" s="2">
        <f>IF(S20="Hinweis: Wenn der AHV Freibetrag nicht überschritten wird, muss ein Lohnausweis erstellt werden!",1,IF(S20=0,0,5))</f>
        <v>0</v>
      </c>
      <c r="X21" s="153"/>
      <c r="Y21" s="154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07" t="str">
        <f>IF($C$16="Salaire horaire","",IF(C16="à choisir","","Salaire mensuel"))</f>
        <v/>
      </c>
      <c r="B22" s="266" t="str">
        <f>IF(A22="Salaire mensuel","CHF"," ")</f>
        <v xml:space="preserve"> </v>
      </c>
      <c r="C22" s="281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1">
        <f t="shared" si="1"/>
        <v>0</v>
      </c>
      <c r="E22" s="281">
        <f t="shared" si="1"/>
        <v>0</v>
      </c>
      <c r="F22" s="281">
        <f t="shared" si="1"/>
        <v>0</v>
      </c>
      <c r="G22" s="281">
        <f t="shared" si="1"/>
        <v>0</v>
      </c>
      <c r="H22" s="282">
        <f t="shared" si="1"/>
        <v>0</v>
      </c>
      <c r="I22" s="308" t="str">
        <f t="shared" si="0"/>
        <v/>
      </c>
      <c r="J22" s="266" t="str">
        <f>IF(I22="Salaire mensuel","CHF"," ")</f>
        <v xml:space="preserve"> </v>
      </c>
      <c r="K22" s="281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2">
        <f t="shared" si="2"/>
        <v>0</v>
      </c>
      <c r="Q22" s="298">
        <f t="shared" ref="Q22:Q37" si="3">ROUND((SUM(C22:H22)+SUM(K22:P22))*20,0)/20</f>
        <v>0</v>
      </c>
      <c r="S22" s="461"/>
      <c r="T22" s="462"/>
      <c r="U22" s="463"/>
      <c r="V22" s="404"/>
      <c r="X22" s="153"/>
      <c r="Y22" s="154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07" t="str">
        <f>IF($C$16="Salaire horaire","",(IF($C$17="oui","13. Salaire mensuel","")))</f>
        <v/>
      </c>
      <c r="B23" s="266" t="str">
        <f>IF(A23="13. Salaire mensuel","CHF"," ")</f>
        <v xml:space="preserve"> </v>
      </c>
      <c r="C23" s="281">
        <f>IF(OR($C$16="Salaire horaire",$C$16="à choisir"),0,(IF($C$17="oui",(C$22+C32+C33)/12,"")))</f>
        <v>0</v>
      </c>
      <c r="D23" s="283">
        <f t="shared" ref="D23:H23" si="4">IF(OR($C$16="Salaire horaire",$C$16="à choisir"),0,(IF($C$17="oui",(D$22+D32+D33)/12,"")))</f>
        <v>0</v>
      </c>
      <c r="E23" s="283">
        <f t="shared" si="4"/>
        <v>0</v>
      </c>
      <c r="F23" s="283">
        <f t="shared" si="4"/>
        <v>0</v>
      </c>
      <c r="G23" s="283">
        <f t="shared" si="4"/>
        <v>0</v>
      </c>
      <c r="H23" s="282">
        <f t="shared" si="4"/>
        <v>0</v>
      </c>
      <c r="I23" s="308" t="str">
        <f t="shared" si="0"/>
        <v/>
      </c>
      <c r="J23" s="266" t="str">
        <f>IF(I23="13. Salaire mensuel","CHF"," ")</f>
        <v xml:space="preserve"> </v>
      </c>
      <c r="K23" s="283">
        <f t="shared" ref="K23:P23" si="5">IF(OR($C$16="Salaire horaire",$C$16="à choisir"),0,(IF($C$17="oui",(K$22+K32+K33)/12,"")))</f>
        <v>0</v>
      </c>
      <c r="L23" s="283">
        <f t="shared" si="5"/>
        <v>0</v>
      </c>
      <c r="M23" s="283">
        <f t="shared" si="5"/>
        <v>0</v>
      </c>
      <c r="N23" s="299">
        <f t="shared" si="5"/>
        <v>0</v>
      </c>
      <c r="O23" s="283">
        <f t="shared" si="5"/>
        <v>0</v>
      </c>
      <c r="P23" s="282">
        <f t="shared" si="5"/>
        <v>0</v>
      </c>
      <c r="Q23" s="236">
        <f t="shared" si="3"/>
        <v>0</v>
      </c>
      <c r="S23" s="258"/>
      <c r="U23" s="259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0" t="str">
        <f>IF(G11="oui","Nombre d'heures 
de garde","")</f>
        <v/>
      </c>
      <c r="B24" s="369" t="str">
        <f>IF(A24="Nombre d'heures 
de garde","h"," ")</f>
        <v xml:space="preserve"> </v>
      </c>
      <c r="C24" s="283"/>
      <c r="D24" s="283"/>
      <c r="E24" s="283"/>
      <c r="F24" s="283"/>
      <c r="G24" s="283"/>
      <c r="H24" s="282"/>
      <c r="I24" s="370" t="str">
        <f t="shared" si="0"/>
        <v/>
      </c>
      <c r="J24" s="369" t="str">
        <f>B24</f>
        <v xml:space="preserve"> </v>
      </c>
      <c r="K24" s="283"/>
      <c r="L24" s="283"/>
      <c r="M24" s="283"/>
      <c r="N24" s="283"/>
      <c r="O24" s="283"/>
      <c r="P24" s="282"/>
      <c r="Q24" s="300">
        <f t="shared" si="3"/>
        <v>0</v>
      </c>
      <c r="S24" s="461">
        <f>IF(OR(AND(Z6="simplifiée",'PA 1'!Z6="simplifiée",'PA 3'!Z6="simplifiée",'PA 4'!Z6="simplifiée",'PA 5'!Z6="simplifiée",'PA 6'!Z6="simplifiée",'PA 7'!Z6="simplifiée",'PA 8'!Z6="simplifiée",'PA 9'!Z6="simplifiée"),(AND(Z7="ordinaire",'PA 1'!Z7="ordinaire",'PA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62"/>
      <c r="U24" s="463"/>
      <c r="V24" s="404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0" t="str">
        <f>IF(AND(C16="Salaire mensuel",G12="oui"),"Nombre d'engagements de nuit",IF(P10&gt;0.1,"Nombre d'engagements de nuit",""))</f>
        <v/>
      </c>
      <c r="B25" s="266" t="str">
        <f>IF(A25="Nombre d'engagements de nuit","Nb."," ")</f>
        <v xml:space="preserve"> </v>
      </c>
      <c r="C25" s="284"/>
      <c r="D25" s="284"/>
      <c r="E25" s="284"/>
      <c r="F25" s="284"/>
      <c r="G25" s="284"/>
      <c r="H25" s="285"/>
      <c r="I25" s="370" t="str">
        <f t="shared" si="0"/>
        <v/>
      </c>
      <c r="J25" s="266" t="str">
        <f>B25</f>
        <v xml:space="preserve"> </v>
      </c>
      <c r="K25" s="284"/>
      <c r="L25" s="284"/>
      <c r="M25" s="284"/>
      <c r="N25" s="284"/>
      <c r="O25" s="284"/>
      <c r="P25" s="301"/>
      <c r="Q25" s="298">
        <f t="shared" si="3"/>
        <v>0</v>
      </c>
      <c r="R25" s="76"/>
      <c r="S25" s="461"/>
      <c r="T25" s="462"/>
      <c r="U25" s="463"/>
      <c r="V25" s="404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08" t="str">
        <f>IF(AND($C$16="Salaire mensuel",$G$12="oui"),"Nombre d'heures",IF(C16="Salaire horaire",IF(G10="oui","Nombre d'heures I","Nombre d'heures"),""))</f>
        <v/>
      </c>
      <c r="B26" s="267" t="str">
        <f>IF(OR(A26="Nombre d'heures Standard",A26="Nombre d'heures",A26="Nombre d'heures I"),"h"," ")</f>
        <v xml:space="preserve"> </v>
      </c>
      <c r="C26" s="283"/>
      <c r="D26" s="283"/>
      <c r="E26" s="283"/>
      <c r="F26" s="283"/>
      <c r="G26" s="283"/>
      <c r="H26" s="282"/>
      <c r="I26" s="308" t="str">
        <f t="shared" si="0"/>
        <v/>
      </c>
      <c r="J26" s="267" t="str">
        <f>IF(OR(I26="Nombre d'heures Standard",I26="Nombre d'heures",I26="Nombre d'heures I"),"h"," ")</f>
        <v xml:space="preserve"> </v>
      </c>
      <c r="K26" s="283"/>
      <c r="L26" s="283"/>
      <c r="M26" s="283"/>
      <c r="N26" s="283"/>
      <c r="O26" s="283"/>
      <c r="P26" s="282"/>
      <c r="Q26" s="300">
        <f t="shared" si="3"/>
        <v>0</v>
      </c>
      <c r="R26" s="76"/>
      <c r="S26" s="461"/>
      <c r="T26" s="462"/>
      <c r="U26" s="463"/>
      <c r="V26" s="404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08" t="str">
        <f>IF($C$16="Salaire horaire",IF(G10="oui","Salaire horaire I","Salaire horaire"),"")</f>
        <v/>
      </c>
      <c r="B27" s="266" t="str">
        <f>IF(OR(A27="Salaire horaire Standard",A27="Salaire horaire",A27="Salaire horaire I"),"CHF"," ")</f>
        <v xml:space="preserve"> </v>
      </c>
      <c r="C27" s="233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3" t="str">
        <f t="shared" si="6"/>
        <v/>
      </c>
      <c r="E27" s="233" t="str">
        <f t="shared" si="6"/>
        <v/>
      </c>
      <c r="F27" s="233" t="str">
        <f t="shared" si="6"/>
        <v/>
      </c>
      <c r="G27" s="233" t="str">
        <f t="shared" si="6"/>
        <v/>
      </c>
      <c r="H27" s="234" t="str">
        <f t="shared" si="6"/>
        <v/>
      </c>
      <c r="I27" s="308" t="str">
        <f t="shared" si="0"/>
        <v/>
      </c>
      <c r="J27" s="266" t="str">
        <f>IF(OR(I27="Salaire horaire Standard",I27="Salaire horaire",I27="Salaire horaire I"),"CHF"," ")</f>
        <v xml:space="preserve"> </v>
      </c>
      <c r="K27" s="233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3" t="str">
        <f t="shared" si="7"/>
        <v/>
      </c>
      <c r="M27" s="233" t="str">
        <f t="shared" si="7"/>
        <v/>
      </c>
      <c r="N27" s="233" t="str">
        <f t="shared" si="7"/>
        <v/>
      </c>
      <c r="O27" s="233" t="str">
        <f t="shared" si="7"/>
        <v/>
      </c>
      <c r="P27" s="234" t="str">
        <f t="shared" si="7"/>
        <v/>
      </c>
      <c r="Q27" s="300">
        <f t="shared" si="3"/>
        <v>0</v>
      </c>
      <c r="R27" s="76"/>
      <c r="S27" s="258"/>
      <c r="T27" s="2"/>
      <c r="U27" s="259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08" t="str">
        <f>IF(G10="oui","Nombre d'heures II","")</f>
        <v/>
      </c>
      <c r="B28" s="267" t="str">
        <f>IF(OR(A28="Nombre d'heures Quali B",A28="Nombre d'heures II"),"h"," ")</f>
        <v xml:space="preserve"> </v>
      </c>
      <c r="C28" s="283"/>
      <c r="D28" s="283"/>
      <c r="E28" s="283"/>
      <c r="F28" s="283"/>
      <c r="G28" s="283"/>
      <c r="H28" s="282"/>
      <c r="I28" s="308" t="str">
        <f t="shared" si="0"/>
        <v/>
      </c>
      <c r="J28" s="267" t="str">
        <f>IF(OR(I28="Nombre d'heures Quali B",I28="Nombre d'heures II"),"h"," ")</f>
        <v xml:space="preserve"> </v>
      </c>
      <c r="K28" s="283"/>
      <c r="L28" s="283"/>
      <c r="M28" s="283"/>
      <c r="N28" s="299"/>
      <c r="O28" s="283"/>
      <c r="P28" s="282"/>
      <c r="Q28" s="300">
        <f t="shared" si="3"/>
        <v>0</v>
      </c>
      <c r="R28" s="78"/>
      <c r="S28" s="461">
        <f>IF(AND(AC6="oui",(G12="oui")),"ATTENTION: le salaire des proches ne doit pas réglé au contributin d'assistance AI",0)</f>
        <v>0</v>
      </c>
      <c r="T28" s="462"/>
      <c r="U28" s="463"/>
      <c r="V28" s="404"/>
      <c r="W28" s="78"/>
      <c r="X28" s="101"/>
      <c r="Y28" s="98"/>
    </row>
    <row r="29" spans="1:37" s="6" customFormat="1" x14ac:dyDescent="0.2">
      <c r="A29" s="308" t="str">
        <f>IF(G10="oui","Salaire horaire II","")</f>
        <v/>
      </c>
      <c r="B29" s="266" t="str">
        <f>IF(OR(A29="Salaire horaire Quali B",A29="Salaire horaire II"),"CHF"," ")</f>
        <v xml:space="preserve"> </v>
      </c>
      <c r="C29" s="233" t="str">
        <f t="shared" ref="C29:H29" si="8">IF($C$16="Salaire horaire",(IF(OR((DATEDIF($F$7,C21,"Y")&lt;20),(DATEDIF($F$7,C21,"Y")&gt;49)),$M$13/110.64%*(C28),$M$13/108.33%*(C28))),"")</f>
        <v/>
      </c>
      <c r="D29" s="233" t="str">
        <f t="shared" si="8"/>
        <v/>
      </c>
      <c r="E29" s="233" t="str">
        <f t="shared" si="8"/>
        <v/>
      </c>
      <c r="F29" s="233" t="str">
        <f t="shared" si="8"/>
        <v/>
      </c>
      <c r="G29" s="233" t="str">
        <f t="shared" si="8"/>
        <v/>
      </c>
      <c r="H29" s="234" t="str">
        <f t="shared" si="8"/>
        <v/>
      </c>
      <c r="I29" s="308" t="str">
        <f t="shared" si="0"/>
        <v/>
      </c>
      <c r="J29" s="266" t="str">
        <f>IF(OR(I29="Salaire horaire Quali B",I29="Salaire horaire II"),"CHF"," ")</f>
        <v xml:space="preserve"> </v>
      </c>
      <c r="K29" s="233" t="str">
        <f t="shared" ref="K29:P29" si="9">IF($C$16="Salaire horaire",(IF(OR((DATEDIF($F$7,K21,"Y")&lt;20),(DATEDIF($F$7,K21,"Y")&gt;49)),$M$13/110.64%*(K28),$M$13/108.33%*(K28))),"")</f>
        <v/>
      </c>
      <c r="L29" s="233" t="str">
        <f t="shared" si="9"/>
        <v/>
      </c>
      <c r="M29" s="233" t="str">
        <f t="shared" si="9"/>
        <v/>
      </c>
      <c r="N29" s="233" t="str">
        <f t="shared" si="9"/>
        <v/>
      </c>
      <c r="O29" s="233" t="str">
        <f t="shared" si="9"/>
        <v/>
      </c>
      <c r="P29" s="234" t="str">
        <f t="shared" si="9"/>
        <v/>
      </c>
      <c r="Q29" s="300">
        <f t="shared" si="3"/>
        <v>0</v>
      </c>
      <c r="R29" s="65"/>
      <c r="S29" s="461"/>
      <c r="T29" s="462"/>
      <c r="U29" s="463"/>
      <c r="V29" s="404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08" t="str">
        <f>IF($C$16="Salaire horaire","Supplément de vacances","")</f>
        <v/>
      </c>
      <c r="B30" s="266" t="str">
        <f>IF(A30="Supplément de vacances","CHF"," ")</f>
        <v xml:space="preserve"> </v>
      </c>
      <c r="C30" s="233">
        <f t="shared" ref="C30:H30" si="10">IF($C$16="Salaire horaire",(ROUND(IF(OR((DATEDIF($F$7,C$21,"Y")&lt;20),(DATEDIF($F$7,C$21,"Y")&gt;49)),(C$27+C$29)*10.64%,(C$27+C$29)*8.33%),2)),)</f>
        <v>0</v>
      </c>
      <c r="D30" s="233">
        <f t="shared" si="10"/>
        <v>0</v>
      </c>
      <c r="E30" s="233">
        <f t="shared" si="10"/>
        <v>0</v>
      </c>
      <c r="F30" s="233">
        <f t="shared" si="10"/>
        <v>0</v>
      </c>
      <c r="G30" s="233">
        <f t="shared" si="10"/>
        <v>0</v>
      </c>
      <c r="H30" s="234">
        <f t="shared" si="10"/>
        <v>0</v>
      </c>
      <c r="I30" s="308" t="str">
        <f t="shared" si="0"/>
        <v/>
      </c>
      <c r="J30" s="266" t="str">
        <f>IF(I30="Supplément de vacances","CHF"," ")</f>
        <v xml:space="preserve"> </v>
      </c>
      <c r="K30" s="233">
        <f t="shared" ref="K30:P30" si="11">IF($C$16="Salaire horaire",(ROUND(IF(OR((DATEDIF($F$7,K$21,"Y")&lt;20),(DATEDIF($F$7,K$21,"Y")&gt;49)),(K$27+K$29)*10.64%,(K$27+K$29)*8.33%),2)),)</f>
        <v>0</v>
      </c>
      <c r="L30" s="233">
        <f t="shared" si="11"/>
        <v>0</v>
      </c>
      <c r="M30" s="233">
        <f t="shared" si="11"/>
        <v>0</v>
      </c>
      <c r="N30" s="233">
        <f t="shared" si="11"/>
        <v>0</v>
      </c>
      <c r="O30" s="233">
        <f t="shared" si="11"/>
        <v>0</v>
      </c>
      <c r="P30" s="234">
        <f t="shared" si="11"/>
        <v>0</v>
      </c>
      <c r="Q30" s="300">
        <f t="shared" si="3"/>
        <v>0</v>
      </c>
      <c r="R30" s="65"/>
      <c r="S30" s="461"/>
      <c r="T30" s="462"/>
      <c r="U30" s="463"/>
      <c r="V30" s="404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09" t="s">
        <v>127</v>
      </c>
      <c r="B31" s="267" t="s">
        <v>128</v>
      </c>
      <c r="C31" s="412"/>
      <c r="D31" s="413"/>
      <c r="E31" s="413"/>
      <c r="F31" s="413"/>
      <c r="G31" s="413"/>
      <c r="H31" s="414"/>
      <c r="I31" s="309" t="str">
        <f t="shared" si="0"/>
        <v>Repas &amp; logement</v>
      </c>
      <c r="J31" s="267" t="s">
        <v>128</v>
      </c>
      <c r="K31" s="412"/>
      <c r="L31" s="412"/>
      <c r="M31" s="412"/>
      <c r="N31" s="412"/>
      <c r="O31" s="412"/>
      <c r="P31" s="414"/>
      <c r="Q31" s="83">
        <f t="shared" si="3"/>
        <v>0</v>
      </c>
      <c r="R31" s="65"/>
      <c r="S31" s="457">
        <f>IF(AND(M7+M12&gt;8,T11=0),"Remarque: à partir de 8 heures de travail effectives par semaine, l’employé doit avoir souscrit une assurance-accidents non professionnels!",0)</f>
        <v>0</v>
      </c>
      <c r="T31" s="458"/>
      <c r="U31" s="459"/>
      <c r="V31" s="403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09" t="s">
        <v>129</v>
      </c>
      <c r="B32" s="268" t="s">
        <v>128</v>
      </c>
      <c r="C32" s="412"/>
      <c r="D32" s="413"/>
      <c r="E32" s="413"/>
      <c r="F32" s="413"/>
      <c r="G32" s="413"/>
      <c r="H32" s="415"/>
      <c r="I32" s="309" t="str">
        <f t="shared" si="0"/>
        <v>Oblig. de verser le salaire (art. 324a CO) (soumis à l'AVS)</v>
      </c>
      <c r="J32" s="268" t="s">
        <v>128</v>
      </c>
      <c r="K32" s="413"/>
      <c r="L32" s="413"/>
      <c r="M32" s="413"/>
      <c r="N32" s="416"/>
      <c r="O32" s="413"/>
      <c r="P32" s="415"/>
      <c r="Q32" s="70">
        <f t="shared" si="3"/>
        <v>0</v>
      </c>
      <c r="R32" s="65"/>
      <c r="S32" s="457"/>
      <c r="T32" s="458"/>
      <c r="U32" s="459"/>
      <c r="V32" s="403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09" t="s">
        <v>130</v>
      </c>
      <c r="B33" s="268" t="s">
        <v>128</v>
      </c>
      <c r="C33" s="412"/>
      <c r="D33" s="413"/>
      <c r="E33" s="413"/>
      <c r="F33" s="413"/>
      <c r="G33" s="413"/>
      <c r="H33" s="415"/>
      <c r="I33" s="309" t="str">
        <f t="shared" si="0"/>
        <v>Oblig. de verser le salaire
(soumis à l'AVS)</v>
      </c>
      <c r="J33" s="268" t="s">
        <v>128</v>
      </c>
      <c r="K33" s="413"/>
      <c r="L33" s="413"/>
      <c r="M33" s="413"/>
      <c r="N33" s="416"/>
      <c r="O33" s="413"/>
      <c r="P33" s="415"/>
      <c r="Q33" s="70">
        <f t="shared" si="3"/>
        <v>0</v>
      </c>
      <c r="R33" s="65"/>
      <c r="S33" s="457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8"/>
      <c r="U33" s="459"/>
      <c r="V33" s="403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36" x14ac:dyDescent="0.2">
      <c r="A34" s="310" t="s">
        <v>131</v>
      </c>
      <c r="B34" s="269" t="s">
        <v>128</v>
      </c>
      <c r="C34" s="412"/>
      <c r="D34" s="413"/>
      <c r="E34" s="413"/>
      <c r="F34" s="413"/>
      <c r="G34" s="413"/>
      <c r="H34" s="415"/>
      <c r="I34" s="310" t="str">
        <f t="shared" si="0"/>
        <v>Allocation maternité / militaire (soumis à l'AVS)</v>
      </c>
      <c r="J34" s="269" t="s">
        <v>128</v>
      </c>
      <c r="K34" s="413"/>
      <c r="L34" s="413"/>
      <c r="M34" s="413"/>
      <c r="N34" s="416"/>
      <c r="O34" s="413"/>
      <c r="P34" s="415"/>
      <c r="Q34" s="70">
        <f t="shared" si="3"/>
        <v>0</v>
      </c>
      <c r="R34" s="57"/>
      <c r="S34" s="457"/>
      <c r="T34" s="458"/>
      <c r="U34" s="459"/>
      <c r="V34" s="403"/>
      <c r="W34" s="2">
        <f>IF(S33&gt;1,1,0)</f>
        <v>0</v>
      </c>
      <c r="X34" s="101"/>
      <c r="Y34" s="110">
        <f t="shared" ref="Y34:AD34" si="12">C21</f>
        <v>45292</v>
      </c>
      <c r="Z34" s="110">
        <f t="shared" si="12"/>
        <v>45323</v>
      </c>
      <c r="AA34" s="110">
        <f t="shared" si="12"/>
        <v>45352</v>
      </c>
      <c r="AB34" s="110">
        <f t="shared" si="12"/>
        <v>45383</v>
      </c>
      <c r="AC34" s="110">
        <f t="shared" si="12"/>
        <v>45413</v>
      </c>
      <c r="AD34" s="110">
        <f t="shared" si="12"/>
        <v>45444</v>
      </c>
      <c r="AE34" s="110">
        <f t="shared" ref="AE34:AJ34" si="13">K21</f>
        <v>45474</v>
      </c>
      <c r="AF34" s="110">
        <f t="shared" si="13"/>
        <v>45505</v>
      </c>
      <c r="AG34" s="110">
        <f t="shared" si="13"/>
        <v>45536</v>
      </c>
      <c r="AH34" s="110">
        <f t="shared" si="13"/>
        <v>45566</v>
      </c>
      <c r="AI34" s="110">
        <f t="shared" si="13"/>
        <v>45597</v>
      </c>
      <c r="AJ34" s="110">
        <f t="shared" si="13"/>
        <v>45627</v>
      </c>
    </row>
    <row r="35" spans="1:37" s="2" customFormat="1" ht="24" x14ac:dyDescent="0.2">
      <c r="A35" s="310" t="s">
        <v>132</v>
      </c>
      <c r="B35" s="269" t="s">
        <v>128</v>
      </c>
      <c r="C35" s="412"/>
      <c r="D35" s="413"/>
      <c r="E35" s="413"/>
      <c r="F35" s="413"/>
      <c r="G35" s="413"/>
      <c r="H35" s="415"/>
      <c r="I35" s="310" t="str">
        <f t="shared" si="0"/>
        <v>Indemnité d'assurance
(non soumis AVS)</v>
      </c>
      <c r="J35" s="269" t="s">
        <v>128</v>
      </c>
      <c r="K35" s="413"/>
      <c r="L35" s="413"/>
      <c r="M35" s="413"/>
      <c r="N35" s="416"/>
      <c r="O35" s="413"/>
      <c r="P35" s="415"/>
      <c r="Q35" s="70">
        <f t="shared" si="3"/>
        <v>0</v>
      </c>
      <c r="R35" s="57"/>
      <c r="S35" s="457"/>
      <c r="T35" s="458"/>
      <c r="U35" s="459"/>
      <c r="V35" s="403"/>
      <c r="W35" s="57"/>
      <c r="X35" s="101" t="s">
        <v>133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08" t="s">
        <v>134</v>
      </c>
      <c r="B36" s="267" t="s">
        <v>128</v>
      </c>
      <c r="C36" s="412"/>
      <c r="D36" s="413"/>
      <c r="E36" s="413"/>
      <c r="F36" s="413"/>
      <c r="G36" s="413"/>
      <c r="H36" s="415"/>
      <c r="I36" s="308" t="str">
        <f t="shared" si="0"/>
        <v>Allocations familiales</v>
      </c>
      <c r="J36" s="267" t="s">
        <v>128</v>
      </c>
      <c r="K36" s="413"/>
      <c r="L36" s="413"/>
      <c r="M36" s="413"/>
      <c r="N36" s="416"/>
      <c r="O36" s="413"/>
      <c r="P36" s="415"/>
      <c r="Q36" s="70">
        <f t="shared" si="3"/>
        <v>0</v>
      </c>
      <c r="R36" s="57"/>
      <c r="S36" s="457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8"/>
      <c r="U36" s="459"/>
      <c r="V36" s="403"/>
      <c r="W36" s="57"/>
      <c r="X36" s="105" t="s">
        <v>135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1" t="s">
        <v>136</v>
      </c>
      <c r="B37" s="270" t="s">
        <v>128</v>
      </c>
      <c r="C37" s="286">
        <f t="shared" ref="C37:H37" si="17">IF($C$16="Salaire horaire",SUM(C27,C29,C30,C31,C32,C33,C34,C35,C36),SUM(C22,C23,C30,C31,C32,C33,C34,C35,C36))</f>
        <v>0</v>
      </c>
      <c r="D37" s="286">
        <f t="shared" si="17"/>
        <v>0</v>
      </c>
      <c r="E37" s="286">
        <f t="shared" si="17"/>
        <v>0</v>
      </c>
      <c r="F37" s="286">
        <f t="shared" si="17"/>
        <v>0</v>
      </c>
      <c r="G37" s="286">
        <f t="shared" si="17"/>
        <v>0</v>
      </c>
      <c r="H37" s="238">
        <f t="shared" si="17"/>
        <v>0</v>
      </c>
      <c r="I37" s="311" t="str">
        <f t="shared" si="0"/>
        <v>Salaire brut</v>
      </c>
      <c r="J37" s="270" t="s">
        <v>128</v>
      </c>
      <c r="K37" s="286">
        <f t="shared" ref="K37:P37" si="18">IF($C$16="Salaire horaire",SUM(K27,K29,K30,K31,K32,K33,K34,K35,K36),SUM(K22,K23,K30,K31,K32,K33,K34,K35,K36))</f>
        <v>0</v>
      </c>
      <c r="L37" s="286">
        <f t="shared" si="18"/>
        <v>0</v>
      </c>
      <c r="M37" s="286">
        <f t="shared" si="18"/>
        <v>0</v>
      </c>
      <c r="N37" s="302">
        <f t="shared" si="18"/>
        <v>0</v>
      </c>
      <c r="O37" s="286">
        <f t="shared" si="18"/>
        <v>0</v>
      </c>
      <c r="P37" s="238">
        <f t="shared" si="18"/>
        <v>0</v>
      </c>
      <c r="Q37" s="238">
        <f t="shared" si="3"/>
        <v>0</v>
      </c>
      <c r="R37" s="57"/>
      <c r="S37" s="457"/>
      <c r="T37" s="458"/>
      <c r="U37" s="459"/>
      <c r="V37" s="403"/>
      <c r="W37" s="2">
        <f>IF(S36&gt;1,5,0)</f>
        <v>0</v>
      </c>
      <c r="X37" s="101" t="s">
        <v>137</v>
      </c>
      <c r="Y37" s="163">
        <f t="shared" ref="Y37:AD37" si="19">IF(Y35=0,0,IF($C$16="Salaire horaire",SUM(C27,C29,C30,C31,C32,C33,C34),SUM(C22,C23,C30,C31,C32,C33,C34)))</f>
        <v>0</v>
      </c>
      <c r="Z37" s="163">
        <f t="shared" si="19"/>
        <v>0</v>
      </c>
      <c r="AA37" s="163">
        <f t="shared" si="19"/>
        <v>0</v>
      </c>
      <c r="AB37" s="163">
        <f t="shared" si="19"/>
        <v>0</v>
      </c>
      <c r="AC37" s="163">
        <f t="shared" si="19"/>
        <v>0</v>
      </c>
      <c r="AD37" s="163">
        <f t="shared" si="19"/>
        <v>0</v>
      </c>
      <c r="AE37" s="163">
        <f t="shared" ref="AE37:AJ37" si="20">IF(AE35=0,0,IF($C$16="Salaire horaire",SUM(K27,K29,K30,K31,K32,K33,K34),SUM(K22,K23,K30,K31,K32,K33,K34)))</f>
        <v>0</v>
      </c>
      <c r="AF37" s="163">
        <f t="shared" si="20"/>
        <v>0</v>
      </c>
      <c r="AG37" s="163">
        <f t="shared" si="20"/>
        <v>0</v>
      </c>
      <c r="AH37" s="163">
        <f t="shared" si="20"/>
        <v>0</v>
      </c>
      <c r="AI37" s="163">
        <f t="shared" si="20"/>
        <v>0</v>
      </c>
      <c r="AJ37" s="163">
        <f t="shared" si="20"/>
        <v>0</v>
      </c>
    </row>
    <row r="38" spans="1:37" s="2" customFormat="1" ht="12" x14ac:dyDescent="0.2">
      <c r="A38" s="308" t="s">
        <v>138</v>
      </c>
      <c r="B38" s="271" t="s">
        <v>128</v>
      </c>
      <c r="C38" s="430">
        <f t="shared" ref="C38:H38" si="21">Y42</f>
        <v>0</v>
      </c>
      <c r="D38" s="430">
        <f t="shared" si="21"/>
        <v>0</v>
      </c>
      <c r="E38" s="430">
        <f t="shared" si="21"/>
        <v>0</v>
      </c>
      <c r="F38" s="430">
        <f t="shared" si="21"/>
        <v>0</v>
      </c>
      <c r="G38" s="430">
        <f t="shared" si="21"/>
        <v>0</v>
      </c>
      <c r="H38" s="431">
        <f t="shared" si="21"/>
        <v>0</v>
      </c>
      <c r="I38" s="308" t="str">
        <f t="shared" si="0"/>
        <v>Franchise rentier AVS</v>
      </c>
      <c r="J38" s="271" t="s">
        <v>128</v>
      </c>
      <c r="K38" s="430">
        <f t="shared" ref="K38:P38" si="22">AE42</f>
        <v>0</v>
      </c>
      <c r="L38" s="430">
        <f t="shared" si="22"/>
        <v>0</v>
      </c>
      <c r="M38" s="430">
        <f t="shared" si="22"/>
        <v>0</v>
      </c>
      <c r="N38" s="430">
        <f t="shared" si="22"/>
        <v>0</v>
      </c>
      <c r="O38" s="430">
        <f t="shared" si="22"/>
        <v>0</v>
      </c>
      <c r="P38" s="432">
        <f t="shared" si="22"/>
        <v>0</v>
      </c>
      <c r="Q38" s="303">
        <f>SUM(C38:H38)+SUM(K38:P38)</f>
        <v>0</v>
      </c>
      <c r="R38" s="57"/>
      <c r="S38" s="457"/>
      <c r="T38" s="458"/>
      <c r="U38" s="459"/>
      <c r="V38" s="403"/>
      <c r="W38" s="57"/>
      <c r="X38" s="2" t="s">
        <v>139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1" t="s">
        <v>140</v>
      </c>
      <c r="B39" s="270" t="s">
        <v>128</v>
      </c>
      <c r="C39" s="286">
        <f t="shared" ref="C39:H39" si="24">C37-C36-C35-C38</f>
        <v>0</v>
      </c>
      <c r="D39" s="286">
        <f t="shared" si="24"/>
        <v>0</v>
      </c>
      <c r="E39" s="286">
        <f t="shared" si="24"/>
        <v>0</v>
      </c>
      <c r="F39" s="286">
        <f t="shared" si="24"/>
        <v>0</v>
      </c>
      <c r="G39" s="286">
        <f t="shared" si="24"/>
        <v>0</v>
      </c>
      <c r="H39" s="238">
        <f t="shared" si="24"/>
        <v>0</v>
      </c>
      <c r="I39" s="311" t="str">
        <f t="shared" si="0"/>
        <v>AVS montant brut</v>
      </c>
      <c r="J39" s="270" t="s">
        <v>128</v>
      </c>
      <c r="K39" s="286">
        <f t="shared" ref="K39:P39" si="25">K37-K36-K35-K38</f>
        <v>0</v>
      </c>
      <c r="L39" s="286">
        <f t="shared" si="25"/>
        <v>0</v>
      </c>
      <c r="M39" s="286">
        <f t="shared" si="25"/>
        <v>0</v>
      </c>
      <c r="N39" s="302">
        <f t="shared" si="25"/>
        <v>0</v>
      </c>
      <c r="O39" s="286">
        <f t="shared" si="25"/>
        <v>0</v>
      </c>
      <c r="P39" s="238">
        <f t="shared" si="25"/>
        <v>0</v>
      </c>
      <c r="Q39" s="238">
        <f>ROUND((SUM(C39:H39)+SUM(K39:P39))*20,0)/20</f>
        <v>0</v>
      </c>
      <c r="R39" s="79"/>
      <c r="S39" s="457"/>
      <c r="T39" s="458"/>
      <c r="U39" s="459"/>
      <c r="V39" s="403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08" t="str">
        <f>CONCATENATE("AVS/AI/APG ",T8*100,"%")</f>
        <v>AVS/AI/APG 0%</v>
      </c>
      <c r="B40" s="272" t="s">
        <v>128</v>
      </c>
      <c r="C40" s="230">
        <f t="shared" ref="C40:H40" si="26">C$39*-$T$8</f>
        <v>0</v>
      </c>
      <c r="D40" s="230">
        <f t="shared" si="26"/>
        <v>0</v>
      </c>
      <c r="E40" s="230">
        <f t="shared" si="26"/>
        <v>0</v>
      </c>
      <c r="F40" s="230">
        <f t="shared" si="26"/>
        <v>0</v>
      </c>
      <c r="G40" s="230">
        <f t="shared" si="26"/>
        <v>0</v>
      </c>
      <c r="H40" s="231">
        <f t="shared" si="26"/>
        <v>0</v>
      </c>
      <c r="I40" s="322" t="str">
        <f t="shared" si="0"/>
        <v>AVS/AI/APG 0%</v>
      </c>
      <c r="J40" s="272" t="s">
        <v>128</v>
      </c>
      <c r="K40" s="230">
        <f t="shared" ref="K40:P40" si="27">K$39*-$T$8</f>
        <v>0</v>
      </c>
      <c r="L40" s="230">
        <f t="shared" si="27"/>
        <v>0</v>
      </c>
      <c r="M40" s="230">
        <f t="shared" si="27"/>
        <v>0</v>
      </c>
      <c r="N40" s="232">
        <f t="shared" si="27"/>
        <v>0</v>
      </c>
      <c r="O40" s="230">
        <f t="shared" si="27"/>
        <v>0</v>
      </c>
      <c r="P40" s="231">
        <f t="shared" si="27"/>
        <v>0</v>
      </c>
      <c r="Q40" s="235">
        <f t="shared" ref="Q40:Q48" si="28">ROUND((SUM(C40:H40)+SUM(K40:P40))*20,0)/20</f>
        <v>0</v>
      </c>
      <c r="R40" s="65"/>
      <c r="S40" s="474"/>
      <c r="T40" s="475"/>
      <c r="U40" s="476"/>
      <c r="V40" s="403"/>
      <c r="W40" s="65"/>
      <c r="X40" s="2" t="s">
        <v>141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08" t="str">
        <f>CONCATENATE("AC ",T9*100,"%")</f>
        <v>AC 0%</v>
      </c>
      <c r="B41" s="267" t="s">
        <v>128</v>
      </c>
      <c r="C41" s="233">
        <f t="shared" ref="C41:H41" si="30">C$39*(IF(DATEDIF($F$7,$D$1,"Y")&lt;18,0,IF(DATEDIF($F$7,C21,"Y")&gt;(IF($C$10="féminin",63,64)),0,-1.1%)))</f>
        <v>0</v>
      </c>
      <c r="D41" s="233">
        <f t="shared" si="30"/>
        <v>0</v>
      </c>
      <c r="E41" s="233">
        <f t="shared" si="30"/>
        <v>0</v>
      </c>
      <c r="F41" s="233">
        <f t="shared" si="30"/>
        <v>0</v>
      </c>
      <c r="G41" s="233">
        <f t="shared" si="30"/>
        <v>0</v>
      </c>
      <c r="H41" s="234">
        <f t="shared" si="30"/>
        <v>0</v>
      </c>
      <c r="I41" s="322" t="str">
        <f t="shared" si="0"/>
        <v>AC 0%</v>
      </c>
      <c r="J41" s="267" t="s">
        <v>128</v>
      </c>
      <c r="K41" s="233">
        <f t="shared" ref="K41:P41" si="31">K$39*(IF(DATEDIF($F$7,$D$1,"Y")&lt;18,0,IF(DATEDIF($F$7,K21,"Y")&gt;(IF($C$10="féminin",63,64)),0,-1.1%)))</f>
        <v>0</v>
      </c>
      <c r="L41" s="233">
        <f t="shared" si="31"/>
        <v>0</v>
      </c>
      <c r="M41" s="233">
        <f t="shared" si="31"/>
        <v>0</v>
      </c>
      <c r="N41" s="232">
        <f t="shared" si="31"/>
        <v>0</v>
      </c>
      <c r="O41" s="233">
        <f t="shared" si="31"/>
        <v>0</v>
      </c>
      <c r="P41" s="234">
        <f t="shared" si="31"/>
        <v>0</v>
      </c>
      <c r="Q41" s="236">
        <f t="shared" si="28"/>
        <v>0</v>
      </c>
      <c r="R41" s="79"/>
      <c r="S41" s="472"/>
      <c r="T41" s="472"/>
      <c r="U41" s="472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08" t="str">
        <f>IF(T11&lt;0.01,"ANP",(CONCATENATE("ANP ",T11*100,"%")))</f>
        <v>ANP</v>
      </c>
      <c r="B42" s="267" t="s">
        <v>128</v>
      </c>
      <c r="C42" s="412">
        <f t="shared" ref="C42:H42" si="32">(C$37-C$34-C$35-C$36)*-$T$11</f>
        <v>0</v>
      </c>
      <c r="D42" s="412">
        <f t="shared" si="32"/>
        <v>0</v>
      </c>
      <c r="E42" s="412">
        <f t="shared" si="32"/>
        <v>0</v>
      </c>
      <c r="F42" s="412">
        <f t="shared" si="32"/>
        <v>0</v>
      </c>
      <c r="G42" s="412">
        <f t="shared" si="32"/>
        <v>0</v>
      </c>
      <c r="H42" s="414">
        <f t="shared" si="32"/>
        <v>0</v>
      </c>
      <c r="I42" s="322" t="str">
        <f t="shared" si="0"/>
        <v>ANP</v>
      </c>
      <c r="J42" s="267" t="s">
        <v>128</v>
      </c>
      <c r="K42" s="412">
        <f t="shared" ref="K42:P42" si="33">(K$37-K$34-K$35-K$36)*-$T$11</f>
        <v>0</v>
      </c>
      <c r="L42" s="412">
        <f t="shared" si="33"/>
        <v>0</v>
      </c>
      <c r="M42" s="412">
        <f t="shared" si="33"/>
        <v>0</v>
      </c>
      <c r="N42" s="416">
        <f t="shared" si="33"/>
        <v>0</v>
      </c>
      <c r="O42" s="412">
        <f t="shared" si="33"/>
        <v>0</v>
      </c>
      <c r="P42" s="414">
        <f t="shared" si="33"/>
        <v>0</v>
      </c>
      <c r="Q42" s="236">
        <f t="shared" si="28"/>
        <v>0</v>
      </c>
      <c r="R42" s="65"/>
      <c r="S42" s="473"/>
      <c r="T42" s="473"/>
      <c r="U42" s="473"/>
      <c r="V42" s="79"/>
      <c r="W42" s="2">
        <f>IF(S41&gt;1,1,0)</f>
        <v>0</v>
      </c>
      <c r="X42" s="2" t="s">
        <v>142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08" t="str">
        <f>IF(T13&lt;0.0000001,"IJM",(CONCATENATE("IJM ",T13*100,"%")))</f>
        <v>IJM</v>
      </c>
      <c r="B43" s="267" t="s">
        <v>128</v>
      </c>
      <c r="C43" s="412">
        <f t="shared" ref="C43:H43" si="35">(C$37-C$34-C$35-C$36)*-$T$13</f>
        <v>0</v>
      </c>
      <c r="D43" s="412">
        <f t="shared" si="35"/>
        <v>0</v>
      </c>
      <c r="E43" s="412">
        <f t="shared" si="35"/>
        <v>0</v>
      </c>
      <c r="F43" s="412">
        <f t="shared" si="35"/>
        <v>0</v>
      </c>
      <c r="G43" s="412">
        <f t="shared" si="35"/>
        <v>0</v>
      </c>
      <c r="H43" s="414">
        <f t="shared" si="35"/>
        <v>0</v>
      </c>
      <c r="I43" s="322" t="str">
        <f t="shared" si="0"/>
        <v>IJM</v>
      </c>
      <c r="J43" s="267" t="s">
        <v>128</v>
      </c>
      <c r="K43" s="412">
        <f t="shared" ref="K43:P43" si="36">(K$37-K$34-K$35-K$36)*-$T$13</f>
        <v>0</v>
      </c>
      <c r="L43" s="412">
        <f t="shared" si="36"/>
        <v>0</v>
      </c>
      <c r="M43" s="412">
        <f t="shared" si="36"/>
        <v>0</v>
      </c>
      <c r="N43" s="416">
        <f t="shared" si="36"/>
        <v>0</v>
      </c>
      <c r="O43" s="412">
        <f t="shared" si="36"/>
        <v>0</v>
      </c>
      <c r="P43" s="414">
        <f t="shared" si="36"/>
        <v>0</v>
      </c>
      <c r="Q43" s="236">
        <f t="shared" si="28"/>
        <v>0</v>
      </c>
      <c r="R43" s="65"/>
      <c r="S43" s="473"/>
      <c r="T43" s="473"/>
      <c r="U43" s="473"/>
      <c r="V43" s="65"/>
      <c r="W43" s="65"/>
      <c r="X43" s="101" t="s">
        <v>143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1">
        <f>MROUND(SUM(Y43:AJ43),0.05)</f>
        <v>0</v>
      </c>
    </row>
    <row r="44" spans="1:37" s="2" customFormat="1" ht="15" customHeight="1" x14ac:dyDescent="0.2">
      <c r="A44" s="308" t="str">
        <f>IF(T16&gt;0.01%,(CONCATENATE("LPP ",T16*100,"%")),IF(T15&lt;0.01,"LPP",(CONCATENATE("LPP ","CHF ",T15))))</f>
        <v>LPP</v>
      </c>
      <c r="B44" s="267" t="s">
        <v>128</v>
      </c>
      <c r="C44" s="412">
        <f t="shared" ref="C44:H44" si="39">IF(C39&lt;1,0,(IF(DATEDIF($F$7,$D$1,"Y")&lt;19,0,(IF(DATEDIF($F$7,C21,"Y")&gt;(IF($C$10="féminin",63,64)),0,IF($T$16&gt;0.1%,-$T$16*C39,-$T$15))))))</f>
        <v>0</v>
      </c>
      <c r="D44" s="412">
        <f t="shared" si="39"/>
        <v>0</v>
      </c>
      <c r="E44" s="412">
        <f t="shared" si="39"/>
        <v>0</v>
      </c>
      <c r="F44" s="412">
        <f t="shared" si="39"/>
        <v>0</v>
      </c>
      <c r="G44" s="412">
        <f t="shared" si="39"/>
        <v>0</v>
      </c>
      <c r="H44" s="414">
        <f t="shared" si="39"/>
        <v>0</v>
      </c>
      <c r="I44" s="322" t="str">
        <f t="shared" si="0"/>
        <v>LPP</v>
      </c>
      <c r="J44" s="267" t="s">
        <v>128</v>
      </c>
      <c r="K44" s="412">
        <f t="shared" ref="K44:P44" si="40">IF(K39&lt;1,0,(IF(DATEDIF($F$7,$D$1,"Y")&lt;19,0,(IF(DATEDIF($F$7,K21,"Y")&gt;(IF($C$10="féminin",63,64)),0,IF($T$16&gt;0.1%,-$T$16*K39,-$T$15))))))</f>
        <v>0</v>
      </c>
      <c r="L44" s="412">
        <f t="shared" si="40"/>
        <v>0</v>
      </c>
      <c r="M44" s="412">
        <f t="shared" si="40"/>
        <v>0</v>
      </c>
      <c r="N44" s="416">
        <f t="shared" si="40"/>
        <v>0</v>
      </c>
      <c r="O44" s="412">
        <f t="shared" si="40"/>
        <v>0</v>
      </c>
      <c r="P44" s="414">
        <f t="shared" si="40"/>
        <v>0</v>
      </c>
      <c r="Q44" s="236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08" t="str">
        <f>IF(G13="à choisir","",IF(OR(Y9&lt;5%,G13="ordinaire",)," ",(CONCATENATE("Impôt selon LTN ",Y9*100,"%"))))</f>
        <v/>
      </c>
      <c r="B45" s="266" t="str">
        <f>IF(A45="Impôt selon LTN 5%","CHF"," ")</f>
        <v xml:space="preserve"> </v>
      </c>
      <c r="C45" s="412">
        <f t="shared" ref="C45:H45" si="41">IF(C39+C38=0,0,IF(DATEDIF($F$7,C21,"Y")&lt;(IF($C$10="féminin",64,65)),C39*-$Y$9,IF(AND(C38&gt;1),(C39+C38)*-$Y$9,C39*-$Y$9)))</f>
        <v>0</v>
      </c>
      <c r="D45" s="412">
        <f t="shared" si="41"/>
        <v>0</v>
      </c>
      <c r="E45" s="412">
        <f t="shared" si="41"/>
        <v>0</v>
      </c>
      <c r="F45" s="412">
        <f t="shared" si="41"/>
        <v>0</v>
      </c>
      <c r="G45" s="412">
        <f t="shared" si="41"/>
        <v>0</v>
      </c>
      <c r="H45" s="414">
        <f t="shared" si="41"/>
        <v>0</v>
      </c>
      <c r="I45" s="308" t="str">
        <f t="shared" si="0"/>
        <v/>
      </c>
      <c r="J45" s="266" t="str">
        <f>IF(I45="Impôt selon LTN 5%","CHF"," ")</f>
        <v xml:space="preserve"> </v>
      </c>
      <c r="K45" s="412">
        <f t="shared" ref="K45:P45" si="42">IF(K39+K38=0,0,IF(DATEDIF($F$7,K21,"Y")&lt;(IF($C$10="féminin",64,65)),K39*-$Y$9,IF(AND(K38&gt;1),(K39+K38)*-$Y$9,K39*-$Y$9)))</f>
        <v>0</v>
      </c>
      <c r="L45" s="412">
        <f t="shared" si="42"/>
        <v>0</v>
      </c>
      <c r="M45" s="412">
        <f t="shared" si="42"/>
        <v>0</v>
      </c>
      <c r="N45" s="412">
        <f t="shared" si="42"/>
        <v>0</v>
      </c>
      <c r="O45" s="412">
        <f t="shared" si="42"/>
        <v>0</v>
      </c>
      <c r="P45" s="414">
        <f t="shared" si="42"/>
        <v>0</v>
      </c>
      <c r="Q45" s="300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08" t="str">
        <f>IF(G13="ordinaire","Impôt à la source","")</f>
        <v/>
      </c>
      <c r="B46" s="266" t="str">
        <f>IF(A46="QST","CHF"," ")</f>
        <v xml:space="preserve"> </v>
      </c>
      <c r="C46" s="412"/>
      <c r="D46" s="412"/>
      <c r="E46" s="412"/>
      <c r="F46" s="412"/>
      <c r="G46" s="412"/>
      <c r="H46" s="415"/>
      <c r="I46" s="322" t="str">
        <f t="shared" si="0"/>
        <v/>
      </c>
      <c r="J46" s="266" t="str">
        <f>IF(I46="QST","CHF"," ")</f>
        <v xml:space="preserve"> </v>
      </c>
      <c r="K46" s="413"/>
      <c r="L46" s="413"/>
      <c r="M46" s="413"/>
      <c r="N46" s="416"/>
      <c r="O46" s="413"/>
      <c r="P46" s="415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08" t="s">
        <v>144</v>
      </c>
      <c r="B47" s="267" t="s">
        <v>128</v>
      </c>
      <c r="C47" s="412"/>
      <c r="D47" s="413"/>
      <c r="E47" s="413"/>
      <c r="F47" s="413"/>
      <c r="G47" s="413"/>
      <c r="H47" s="415"/>
      <c r="I47" s="322" t="str">
        <f t="shared" si="0"/>
        <v>Frais effectifs</v>
      </c>
      <c r="J47" s="267" t="s">
        <v>128</v>
      </c>
      <c r="K47" s="413"/>
      <c r="L47" s="413"/>
      <c r="M47" s="413"/>
      <c r="N47" s="416"/>
      <c r="O47" s="413"/>
      <c r="P47" s="415"/>
      <c r="Q47" s="70">
        <f t="shared" si="28"/>
        <v>0</v>
      </c>
      <c r="R47" s="165"/>
      <c r="S47" s="65"/>
      <c r="T47" s="65"/>
      <c r="U47" s="65"/>
      <c r="V47" s="165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2" t="s">
        <v>127</v>
      </c>
      <c r="B48" s="271" t="s">
        <v>128</v>
      </c>
      <c r="C48" s="412">
        <f>-C31</f>
        <v>0</v>
      </c>
      <c r="D48" s="413">
        <f t="shared" ref="D48:H48" si="43">-D31</f>
        <v>0</v>
      </c>
      <c r="E48" s="413">
        <f t="shared" si="43"/>
        <v>0</v>
      </c>
      <c r="F48" s="413">
        <f t="shared" si="43"/>
        <v>0</v>
      </c>
      <c r="G48" s="413">
        <f t="shared" si="43"/>
        <v>0</v>
      </c>
      <c r="H48" s="415">
        <f t="shared" si="43"/>
        <v>0</v>
      </c>
      <c r="I48" s="323" t="str">
        <f t="shared" si="0"/>
        <v>Repas &amp; logement</v>
      </c>
      <c r="J48" s="271" t="s">
        <v>128</v>
      </c>
      <c r="K48" s="413">
        <f t="shared" ref="K48:P48" si="44">-K31</f>
        <v>0</v>
      </c>
      <c r="L48" s="413">
        <f t="shared" si="44"/>
        <v>0</v>
      </c>
      <c r="M48" s="413">
        <f t="shared" si="44"/>
        <v>0</v>
      </c>
      <c r="N48" s="416">
        <f t="shared" si="44"/>
        <v>0</v>
      </c>
      <c r="O48" s="413">
        <f t="shared" si="44"/>
        <v>0</v>
      </c>
      <c r="P48" s="415">
        <f t="shared" si="44"/>
        <v>0</v>
      </c>
      <c r="Q48" s="237">
        <f t="shared" si="28"/>
        <v>0</v>
      </c>
      <c r="R48" s="57"/>
      <c r="S48" s="165"/>
      <c r="T48" s="165"/>
      <c r="U48" s="165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29" t="s">
        <v>145</v>
      </c>
      <c r="B49" s="330" t="s">
        <v>128</v>
      </c>
      <c r="C49" s="325">
        <f>MROUND(C37+(SUM(C40:C46)+C47+C48),0.05)</f>
        <v>0</v>
      </c>
      <c r="D49" s="325">
        <f t="shared" ref="D49:H49" si="45">MROUND(D37+(SUM(D40:D46)+D47+D48),0.05)</f>
        <v>0</v>
      </c>
      <c r="E49" s="325">
        <f t="shared" si="45"/>
        <v>0</v>
      </c>
      <c r="F49" s="325">
        <f t="shared" si="45"/>
        <v>0</v>
      </c>
      <c r="G49" s="325">
        <f t="shared" si="45"/>
        <v>0</v>
      </c>
      <c r="H49" s="327">
        <f t="shared" si="45"/>
        <v>0</v>
      </c>
      <c r="I49" s="329" t="str">
        <f t="shared" si="0"/>
        <v>Salaire net</v>
      </c>
      <c r="J49" s="330" t="s">
        <v>128</v>
      </c>
      <c r="K49" s="325">
        <f t="shared" ref="K49:P49" si="46">MROUND(K37+(SUM(K40:K46)+K47+K48),0.05)</f>
        <v>0</v>
      </c>
      <c r="L49" s="325">
        <f t="shared" si="46"/>
        <v>0</v>
      </c>
      <c r="M49" s="325">
        <f t="shared" si="46"/>
        <v>0</v>
      </c>
      <c r="N49" s="325">
        <f t="shared" si="46"/>
        <v>0</v>
      </c>
      <c r="O49" s="325">
        <f t="shared" si="46"/>
        <v>0</v>
      </c>
      <c r="P49" s="327">
        <f t="shared" si="46"/>
        <v>0</v>
      </c>
      <c r="Q49" s="238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1" t="s">
        <v>146</v>
      </c>
      <c r="B50" s="324" t="s">
        <v>128</v>
      </c>
      <c r="C50" s="412"/>
      <c r="D50" s="412"/>
      <c r="E50" s="412"/>
      <c r="F50" s="412"/>
      <c r="G50" s="412"/>
      <c r="H50" s="414"/>
      <c r="I50" s="331" t="str">
        <f t="shared" si="0"/>
        <v>Salaire net payé</v>
      </c>
      <c r="J50" s="324" t="s">
        <v>128</v>
      </c>
      <c r="K50" s="412"/>
      <c r="L50" s="412"/>
      <c r="M50" s="412"/>
      <c r="N50" s="412"/>
      <c r="O50" s="412"/>
      <c r="P50" s="414"/>
      <c r="Q50" s="305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2" t="s">
        <v>147</v>
      </c>
      <c r="B51" s="333" t="s">
        <v>128</v>
      </c>
      <c r="C51" s="326">
        <f>IF(C50=0,0,C50-C49)</f>
        <v>0</v>
      </c>
      <c r="D51" s="326">
        <f t="shared" ref="D51:H51" si="47">IF(D50=0,0,D50-D49)</f>
        <v>0</v>
      </c>
      <c r="E51" s="326">
        <f t="shared" si="47"/>
        <v>0</v>
      </c>
      <c r="F51" s="326">
        <f t="shared" si="47"/>
        <v>0</v>
      </c>
      <c r="G51" s="326">
        <f t="shared" si="47"/>
        <v>0</v>
      </c>
      <c r="H51" s="328">
        <f t="shared" si="47"/>
        <v>0</v>
      </c>
      <c r="I51" s="332" t="str">
        <f t="shared" si="0"/>
        <v>Différence</v>
      </c>
      <c r="J51" s="333" t="s">
        <v>128</v>
      </c>
      <c r="K51" s="326">
        <f t="shared" ref="K51:P51" si="48">IF(K50=0,0,K50-K49)</f>
        <v>0</v>
      </c>
      <c r="L51" s="326">
        <f t="shared" si="48"/>
        <v>0</v>
      </c>
      <c r="M51" s="326">
        <f t="shared" si="48"/>
        <v>0</v>
      </c>
      <c r="N51" s="326">
        <f t="shared" si="48"/>
        <v>0</v>
      </c>
      <c r="O51" s="326">
        <f t="shared" si="48"/>
        <v>0</v>
      </c>
      <c r="P51" s="328">
        <f t="shared" si="48"/>
        <v>0</v>
      </c>
      <c r="Q51" s="305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148</v>
      </c>
      <c r="B52" s="321"/>
      <c r="C52" s="448"/>
      <c r="D52" s="448"/>
      <c r="E52" s="448"/>
      <c r="F52" s="448"/>
      <c r="G52" s="448"/>
      <c r="H52" s="446"/>
      <c r="I52" s="71" t="str">
        <f t="shared" si="0"/>
        <v>Remarques</v>
      </c>
      <c r="J52" s="321"/>
      <c r="K52" s="448"/>
      <c r="L52" s="448"/>
      <c r="M52" s="448"/>
      <c r="N52" s="448"/>
      <c r="O52" s="450"/>
      <c r="P52" s="446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3"/>
      <c r="B53" s="273"/>
      <c r="C53" s="449"/>
      <c r="D53" s="449"/>
      <c r="E53" s="449"/>
      <c r="F53" s="449"/>
      <c r="G53" s="449"/>
      <c r="H53" s="447"/>
      <c r="I53" s="313"/>
      <c r="J53" s="273"/>
      <c r="K53" s="449"/>
      <c r="L53" s="449"/>
      <c r="M53" s="449"/>
      <c r="N53" s="449"/>
      <c r="O53" s="451"/>
      <c r="P53" s="447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4" t="s">
        <v>149</v>
      </c>
      <c r="B55" s="274"/>
      <c r="C55" s="85">
        <f t="shared" ref="C55:H55" si="50">C21</f>
        <v>45292</v>
      </c>
      <c r="D55" s="86">
        <f t="shared" si="50"/>
        <v>45323</v>
      </c>
      <c r="E55" s="86">
        <f t="shared" si="50"/>
        <v>45352</v>
      </c>
      <c r="F55" s="86">
        <f t="shared" si="50"/>
        <v>45383</v>
      </c>
      <c r="G55" s="86">
        <f t="shared" si="50"/>
        <v>45413</v>
      </c>
      <c r="H55" s="87">
        <f t="shared" si="50"/>
        <v>45444</v>
      </c>
      <c r="I55" s="314" t="str">
        <f>A55</f>
        <v>Données pour AssistMe:</v>
      </c>
      <c r="J55" s="274"/>
      <c r="K55" s="86">
        <f t="shared" ref="K55:P55" si="51">K21</f>
        <v>45474</v>
      </c>
      <c r="L55" s="86">
        <f t="shared" si="51"/>
        <v>45505</v>
      </c>
      <c r="M55" s="86">
        <f t="shared" si="51"/>
        <v>45536</v>
      </c>
      <c r="N55" s="88">
        <f t="shared" si="51"/>
        <v>45566</v>
      </c>
      <c r="O55" s="86">
        <f t="shared" si="51"/>
        <v>45597</v>
      </c>
      <c r="P55" s="87">
        <f t="shared" si="51"/>
        <v>45627</v>
      </c>
      <c r="Q55" s="224" t="s">
        <v>126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5" t="s">
        <v>150</v>
      </c>
      <c r="B56" s="275" t="s">
        <v>151</v>
      </c>
      <c r="C56" s="402" t="str">
        <f t="shared" ref="C56:H56" si="52">IF($C$16="Salaire horaire",IF($M$8="","",(C25*$P$10)+(C24*$P$7)+C26+C28+(C32+C33)/(IF($M$13&gt;1,((($M$8+$M$13)/2)),$M$8))),"Salaire mensuel")</f>
        <v>Salaire mensuel</v>
      </c>
      <c r="D56" s="402" t="str">
        <f t="shared" si="52"/>
        <v>Salaire mensuel</v>
      </c>
      <c r="E56" s="402" t="str">
        <f t="shared" si="52"/>
        <v>Salaire mensuel</v>
      </c>
      <c r="F56" s="402" t="str">
        <f t="shared" si="52"/>
        <v>Salaire mensuel</v>
      </c>
      <c r="G56" s="402" t="str">
        <f t="shared" si="52"/>
        <v>Salaire mensuel</v>
      </c>
      <c r="H56" s="287" t="str">
        <f t="shared" si="52"/>
        <v>Salaire mensuel</v>
      </c>
      <c r="I56" s="316" t="str">
        <f>A56</f>
        <v>Nombre d'heures</v>
      </c>
      <c r="J56" s="275" t="s">
        <v>151</v>
      </c>
      <c r="K56" s="402" t="str">
        <f t="shared" ref="K56:P56" si="53">IF($C$16="Salaire horaire",IF($M$8="","",(K25*$P$10)+(K24*$P$7)+K26+K28+(K32+K33)/(IF($M$13&gt;1,((($M$8+$M$13)/2)),$M$8))),"Salaire mensuel")</f>
        <v>Salaire mensuel</v>
      </c>
      <c r="L56" s="402" t="str">
        <f t="shared" si="53"/>
        <v>Salaire mensuel</v>
      </c>
      <c r="M56" s="402" t="str">
        <f t="shared" si="53"/>
        <v>Salaire mensuel</v>
      </c>
      <c r="N56" s="402" t="str">
        <f t="shared" si="53"/>
        <v>Salaire mensuel</v>
      </c>
      <c r="O56" s="402" t="str">
        <f t="shared" si="53"/>
        <v>Salaire mensuel</v>
      </c>
      <c r="P56" s="287" t="str">
        <f t="shared" si="53"/>
        <v>Salaire mensuel</v>
      </c>
      <c r="Q56" s="229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16" t="s">
        <v>145</v>
      </c>
      <c r="B57" s="276" t="s">
        <v>128</v>
      </c>
      <c r="C57" s="288">
        <f>C49-C48-C47-C46-C36-C35-C34-C31</f>
        <v>0</v>
      </c>
      <c r="D57" s="288">
        <f t="shared" ref="D57:H57" si="54">D49-D48-D47-D46-D36-D35-D34-D31</f>
        <v>0</v>
      </c>
      <c r="E57" s="288">
        <f t="shared" si="54"/>
        <v>0</v>
      </c>
      <c r="F57" s="288">
        <f t="shared" si="54"/>
        <v>0</v>
      </c>
      <c r="G57" s="288">
        <f t="shared" si="54"/>
        <v>0</v>
      </c>
      <c r="H57" s="287">
        <f t="shared" si="54"/>
        <v>0</v>
      </c>
      <c r="I57" s="316" t="str">
        <f>A57</f>
        <v>Salaire net</v>
      </c>
      <c r="J57" s="276" t="s">
        <v>128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297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17" t="s">
        <v>152</v>
      </c>
      <c r="B58" s="277" t="s">
        <v>128</v>
      </c>
      <c r="C58" s="289">
        <f>IF(C32&gt;0.1,C32-(C32*(SUM($T$8:$T$14)+$Y$9+$T$16))-(C32/IF(C39=0,1,C39)*-C44),IF(C32&lt;-0.1,C32-(C32*(SUM($T$8:$T$14)+$Y$9+$T$16))-(C32/IF(C39=0,1,C39)*-C44),0))</f>
        <v>0</v>
      </c>
      <c r="D58" s="289">
        <f t="shared" ref="D58:H58" si="56">IF(D32&gt;0.1,D32-(D32*(SUM($T$8:$T$14)+$Y$9+$T$16))-(D32/IF(D39=0,1,D39)*-D44),IF(D32&lt;-0.1,D32-(D32*(SUM($T$8:$T$14)+$Y$9+$T$16))-(D32/IF(D39=0,1,D39)*-D44),0))</f>
        <v>0</v>
      </c>
      <c r="E58" s="289">
        <f t="shared" si="56"/>
        <v>0</v>
      </c>
      <c r="F58" s="289">
        <f t="shared" si="56"/>
        <v>0</v>
      </c>
      <c r="G58" s="289">
        <f t="shared" si="56"/>
        <v>0</v>
      </c>
      <c r="H58" s="290">
        <f t="shared" si="56"/>
        <v>0</v>
      </c>
      <c r="I58" s="317" t="str">
        <f>A58</f>
        <v>Dont oblig. de verser le salaire (art. 324a CO)</v>
      </c>
      <c r="J58" s="277" t="s">
        <v>128</v>
      </c>
      <c r="K58" s="289">
        <f t="shared" ref="K58:P58" si="57">IF(K32&gt;0.1,K32-(K32*(SUM($T$8:$T$14)+$Y$9+$T$16))-(K32/IF(K39=0,1,K39)*-K44),IF(K32&lt;-0.1,K32-(K32*(SUM($T$8:$T$14)+$Y$9+$T$16))-(K32/IF(K39=0,1,K39)*-K44),0))</f>
        <v>0</v>
      </c>
      <c r="L58" s="289">
        <f t="shared" si="57"/>
        <v>0</v>
      </c>
      <c r="M58" s="289">
        <f t="shared" si="57"/>
        <v>0</v>
      </c>
      <c r="N58" s="289">
        <f t="shared" si="57"/>
        <v>0</v>
      </c>
      <c r="O58" s="289">
        <f t="shared" si="57"/>
        <v>0</v>
      </c>
      <c r="P58" s="290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18" t="str">
        <f>IF(G12="oui","Contribution d'assistance de l'AI","")</f>
        <v/>
      </c>
      <c r="B60" s="278"/>
      <c r="C60" s="219" t="str">
        <f t="shared" ref="C60:H60" si="58">IF($G$12="oui",C21,"")</f>
        <v/>
      </c>
      <c r="D60" s="219" t="str">
        <f t="shared" si="58"/>
        <v/>
      </c>
      <c r="E60" s="219" t="str">
        <f t="shared" si="58"/>
        <v/>
      </c>
      <c r="F60" s="219" t="str">
        <f t="shared" si="58"/>
        <v/>
      </c>
      <c r="G60" s="219" t="str">
        <f t="shared" si="58"/>
        <v/>
      </c>
      <c r="H60" s="220" t="str">
        <f t="shared" si="58"/>
        <v/>
      </c>
      <c r="I60" s="318" t="str">
        <f t="shared" ref="I60:I64" si="59">A60</f>
        <v/>
      </c>
      <c r="J60" s="278"/>
      <c r="K60" s="219" t="str">
        <f t="shared" ref="K60:P60" si="60">IF($G$12="oui",K21,"")</f>
        <v/>
      </c>
      <c r="L60" s="219" t="str">
        <f t="shared" si="60"/>
        <v/>
      </c>
      <c r="M60" s="219" t="str">
        <f t="shared" si="60"/>
        <v/>
      </c>
      <c r="N60" s="221" t="str">
        <f t="shared" si="60"/>
        <v/>
      </c>
      <c r="O60" s="219" t="str">
        <f t="shared" si="60"/>
        <v/>
      </c>
      <c r="P60" s="220" t="str">
        <f t="shared" si="60"/>
        <v/>
      </c>
      <c r="Q60" s="225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19" t="str">
        <f>IF(G12="oui","A) Nb. d'heures standard","")</f>
        <v/>
      </c>
      <c r="B61" s="279" t="str">
        <f>IF(G12="oui","h"," ")</f>
        <v xml:space="preserve"> </v>
      </c>
      <c r="C61" s="291" t="str">
        <f>IF($G$12="oui",(IF(DATEDIF($F$7,C$21,"Y")&lt;18,0,C26+C28)),"")</f>
        <v/>
      </c>
      <c r="D61" s="291" t="str">
        <f t="shared" ref="D61:H61" si="61">IF($G$12="oui",(IF(DATEDIF($F$7,D$21,"Y")&lt;18,0,D26+D28)),"")</f>
        <v/>
      </c>
      <c r="E61" s="291" t="str">
        <f t="shared" si="61"/>
        <v/>
      </c>
      <c r="F61" s="223" t="str">
        <f t="shared" si="61"/>
        <v/>
      </c>
      <c r="G61" s="223" t="str">
        <f t="shared" si="61"/>
        <v/>
      </c>
      <c r="H61" s="222" t="str">
        <f t="shared" si="61"/>
        <v/>
      </c>
      <c r="I61" s="320" t="str">
        <f t="shared" si="59"/>
        <v/>
      </c>
      <c r="J61" s="279" t="str">
        <f>B61</f>
        <v xml:space="preserve"> </v>
      </c>
      <c r="K61" s="223" t="str">
        <f t="shared" ref="K61:P61" si="62">IF($G$12="oui",(IF(DATEDIF($F$7,K$21,"Y")&lt;18,0,K26+K28)),"")</f>
        <v/>
      </c>
      <c r="L61" s="223" t="str">
        <f t="shared" si="62"/>
        <v/>
      </c>
      <c r="M61" s="223" t="str">
        <f t="shared" si="62"/>
        <v/>
      </c>
      <c r="N61" s="295" t="str">
        <f t="shared" si="62"/>
        <v/>
      </c>
      <c r="O61" s="223" t="str">
        <f t="shared" si="62"/>
        <v/>
      </c>
      <c r="P61" s="222" t="str">
        <f t="shared" si="62"/>
        <v/>
      </c>
      <c r="Q61" s="22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0" t="str">
        <f>IF(G12="oui","B) Nb. d'heures quali B","")</f>
        <v/>
      </c>
      <c r="B62" s="280" t="str">
        <f>IF(G12="oui","h"," ")</f>
        <v xml:space="preserve"> </v>
      </c>
      <c r="C62" s="291"/>
      <c r="D62" s="291"/>
      <c r="E62" s="291"/>
      <c r="F62" s="291"/>
      <c r="G62" s="291"/>
      <c r="H62" s="292"/>
      <c r="I62" s="320" t="str">
        <f t="shared" si="59"/>
        <v/>
      </c>
      <c r="J62" s="280" t="str">
        <f>B62</f>
        <v xml:space="preserve"> </v>
      </c>
      <c r="K62" s="223"/>
      <c r="L62" s="223"/>
      <c r="M62" s="223"/>
      <c r="N62" s="295"/>
      <c r="O62" s="223"/>
      <c r="P62" s="222"/>
      <c r="Q62" s="222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x14ac:dyDescent="0.2">
      <c r="A63" s="392" t="str">
        <f>IF($G$12="oui","C) Nb. d'engagements 
de nuit","")</f>
        <v/>
      </c>
      <c r="B63" s="393" t="str">
        <f>IF(G12="oui","Nb."," ")</f>
        <v xml:space="preserve"> </v>
      </c>
      <c r="C63" s="394" t="str">
        <f>IF($G$12="oui",(IF(DATEDIF($F$7,C$21,"Y")&lt;18,0,C25)),"")</f>
        <v/>
      </c>
      <c r="D63" s="394" t="str">
        <f t="shared" ref="D63:H63" si="63">IF($G$12="oui",(IF(DATEDIF($F$7,D$21,"Y")&lt;18,0,D25)),"")</f>
        <v/>
      </c>
      <c r="E63" s="394" t="str">
        <f t="shared" si="63"/>
        <v/>
      </c>
      <c r="F63" s="394" t="str">
        <f t="shared" si="63"/>
        <v/>
      </c>
      <c r="G63" s="394" t="str">
        <f t="shared" si="63"/>
        <v/>
      </c>
      <c r="H63" s="395" t="str">
        <f t="shared" si="63"/>
        <v/>
      </c>
      <c r="I63" s="392" t="str">
        <f t="shared" si="59"/>
        <v/>
      </c>
      <c r="J63" s="393" t="str">
        <f>B63</f>
        <v xml:space="preserve"> </v>
      </c>
      <c r="K63" s="394" t="str">
        <f t="shared" ref="K63:P63" si="64">IF($G$12="oui",(IF(DATEDIF($F$7,K$21,"Y")&lt;18,0,K25)),"")</f>
        <v/>
      </c>
      <c r="L63" s="394" t="str">
        <f t="shared" si="64"/>
        <v/>
      </c>
      <c r="M63" s="394" t="str">
        <f t="shared" si="64"/>
        <v/>
      </c>
      <c r="N63" s="396" t="str">
        <f t="shared" si="64"/>
        <v/>
      </c>
      <c r="O63" s="394" t="str">
        <f t="shared" si="64"/>
        <v/>
      </c>
      <c r="P63" s="395" t="str">
        <f t="shared" si="64"/>
        <v/>
      </c>
      <c r="Q63" s="397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1" customFormat="1" ht="15" customHeight="1" thickBot="1" x14ac:dyDescent="0.25">
      <c r="A64" s="433" t="str">
        <f>IF(G12="oui","Oblig. de verser le salaire","")</f>
        <v/>
      </c>
      <c r="B64" s="434"/>
      <c r="C64" s="293" t="str">
        <f>IF($G$12="oui",(IF(OR(C32&gt;0.1,C33&gt;0.1),"décompter","")),"")</f>
        <v/>
      </c>
      <c r="D64" s="293" t="str">
        <f t="shared" ref="D64:H64" si="65">IF($G$12="oui",(IF(OR(D32&gt;0.1,D33&gt;0.1),"décompter","")),"")</f>
        <v/>
      </c>
      <c r="E64" s="293" t="str">
        <f t="shared" si="65"/>
        <v/>
      </c>
      <c r="F64" s="293" t="str">
        <f t="shared" si="65"/>
        <v/>
      </c>
      <c r="G64" s="293" t="str">
        <f t="shared" si="65"/>
        <v/>
      </c>
      <c r="H64" s="294" t="str">
        <f t="shared" si="65"/>
        <v/>
      </c>
      <c r="I64" s="435" t="str">
        <f t="shared" si="59"/>
        <v/>
      </c>
      <c r="J64" s="434"/>
      <c r="K64" s="293" t="str">
        <f t="shared" ref="K64:P64" si="66">IF($G$12="oui",(IF(OR(K32&gt;0.1,K33&gt;0.1),"décompter","")),"")</f>
        <v/>
      </c>
      <c r="L64" s="293" t="str">
        <f t="shared" si="66"/>
        <v/>
      </c>
      <c r="M64" s="293" t="str">
        <f t="shared" si="66"/>
        <v/>
      </c>
      <c r="N64" s="296" t="str">
        <f t="shared" si="66"/>
        <v/>
      </c>
      <c r="O64" s="293" t="str">
        <f t="shared" si="66"/>
        <v/>
      </c>
      <c r="P64" s="294" t="str">
        <f t="shared" si="66"/>
        <v/>
      </c>
      <c r="Q64" s="227" t="str">
        <f>IF($G$12="oui",SUM(C64:H64)+SUM(K64:P64),"")</f>
        <v/>
      </c>
      <c r="R64" s="398"/>
      <c r="S64" s="398"/>
      <c r="T64" s="398"/>
      <c r="U64" s="398"/>
      <c r="V64" s="398"/>
      <c r="W64" s="399"/>
      <c r="X64" s="400"/>
      <c r="Y64" s="400"/>
      <c r="Z64" s="400"/>
      <c r="AA64" s="400"/>
      <c r="AB64" s="400"/>
      <c r="AC64" s="400"/>
      <c r="AD64" s="400"/>
      <c r="AE64" s="400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6"/>
      <c r="Y65" s="226"/>
      <c r="Z65" s="226"/>
      <c r="AA65" s="226"/>
      <c r="AB65" s="226"/>
      <c r="AC65" s="226"/>
      <c r="AD65" s="226"/>
      <c r="AE65" s="226"/>
    </row>
    <row r="66" spans="1:31" ht="15" customHeight="1" x14ac:dyDescent="0.2">
      <c r="S66" s="62"/>
      <c r="T66" s="62"/>
      <c r="U66" s="62"/>
    </row>
  </sheetData>
  <sheetProtection algorithmName="SHA-512" hashValue="38fsU1Wk2YooY98HJ+XBR1q9ZCtESGz2ZQpzFlSogmLQ2TDBLT8EVn0OanKMLEmOqherNwJjDywFcY0q/8ZrQw==" saltValue="rYxSiL27788npq1Az5E3yw==" spinCount="100000" sheet="1" objects="1" scenarios="1"/>
  <mergeCells count="48">
    <mergeCell ref="K52:K53"/>
    <mergeCell ref="C52:C53"/>
    <mergeCell ref="L52:L53"/>
    <mergeCell ref="D52:D53"/>
    <mergeCell ref="E52:E53"/>
    <mergeCell ref="F52:F53"/>
    <mergeCell ref="G52:G53"/>
    <mergeCell ref="H52:H53"/>
    <mergeCell ref="F14:G14"/>
    <mergeCell ref="F15:G15"/>
    <mergeCell ref="F16:G16"/>
    <mergeCell ref="S18:U18"/>
    <mergeCell ref="S20:U22"/>
    <mergeCell ref="C7:D7"/>
    <mergeCell ref="F7:G7"/>
    <mergeCell ref="C8:D8"/>
    <mergeCell ref="F8:G8"/>
    <mergeCell ref="C9:D9"/>
    <mergeCell ref="F9:G9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AB4:AB5"/>
    <mergeCell ref="AC4:AC5"/>
    <mergeCell ref="AD4:AD5"/>
    <mergeCell ref="AH4:AI5"/>
    <mergeCell ref="C6:D6"/>
    <mergeCell ref="F6:G6"/>
    <mergeCell ref="M52:M53"/>
    <mergeCell ref="N52:N53"/>
    <mergeCell ref="O52:O53"/>
    <mergeCell ref="P52:P53"/>
    <mergeCell ref="S24:U26"/>
    <mergeCell ref="S28:U30"/>
    <mergeCell ref="S31:U32"/>
    <mergeCell ref="S33:U35"/>
    <mergeCell ref="S36:U40"/>
    <mergeCell ref="S41:U43"/>
  </mergeCells>
  <conditionalFormatting sqref="A25">
    <cfRule type="beginsWith" dxfId="458" priority="28" operator="beginsWith" text="Nom">
      <formula>LEFT(A25,LEN("Nom"))="Nom"</formula>
    </cfRule>
  </conditionalFormatting>
  <conditionalFormatting sqref="A26">
    <cfRule type="containsText" dxfId="457" priority="39" operator="containsText" text="Nombre d'heures">
      <formula>NOT(ISERROR(SEARCH("Nombre d'heures",A26)))</formula>
    </cfRule>
  </conditionalFormatting>
  <conditionalFormatting sqref="A28">
    <cfRule type="containsText" dxfId="456" priority="42" operator="containsText" text="Nombre d'heures II">
      <formula>NOT(ISERROR(SEARCH("Nombre d'heures II",A28)))</formula>
    </cfRule>
  </conditionalFormatting>
  <conditionalFormatting sqref="A24:B24">
    <cfRule type="expression" dxfId="455" priority="40">
      <formula>$G$11="oui"</formula>
    </cfRule>
  </conditionalFormatting>
  <conditionalFormatting sqref="A25:B25">
    <cfRule type="expression" dxfId="454" priority="31">
      <formula>$P$10&gt;0.1</formula>
    </cfRule>
  </conditionalFormatting>
  <conditionalFormatting sqref="A50:B50">
    <cfRule type="expression" dxfId="453" priority="217">
      <formula>$G$11="ja"</formula>
    </cfRule>
  </conditionalFormatting>
  <conditionalFormatting sqref="B25">
    <cfRule type="beginsWith" dxfId="452" priority="27" operator="beginsWith" text="Nb">
      <formula>LEFT(B25,LEN("Nb"))="Nb"</formula>
    </cfRule>
  </conditionalFormatting>
  <conditionalFormatting sqref="B26">
    <cfRule type="containsText" dxfId="451" priority="30" operator="containsText" text="h">
      <formula>NOT(ISERROR(SEARCH("h",B26)))</formula>
    </cfRule>
  </conditionalFormatting>
  <conditionalFormatting sqref="B28">
    <cfRule type="containsText" dxfId="450" priority="29" operator="containsText" text="h">
      <formula>NOT(ISERROR(SEARCH("h",B28)))</formula>
    </cfRule>
  </conditionalFormatting>
  <conditionalFormatting sqref="C17">
    <cfRule type="expression" dxfId="449" priority="54">
      <formula>$A$17="13ème salaire"</formula>
    </cfRule>
  </conditionalFormatting>
  <conditionalFormatting sqref="C22:H22">
    <cfRule type="cellIs" dxfId="448" priority="50" operator="greaterThan">
      <formula>1</formula>
    </cfRule>
  </conditionalFormatting>
  <conditionalFormatting sqref="C23:H23 K23:P23">
    <cfRule type="expression" dxfId="447" priority="17">
      <formula>$B$23="CHF"</formula>
    </cfRule>
  </conditionalFormatting>
  <conditionalFormatting sqref="C24:H24 K24:P24">
    <cfRule type="expression" dxfId="446" priority="36">
      <formula>$G$11="oui"</formula>
    </cfRule>
  </conditionalFormatting>
  <conditionalFormatting sqref="C25:H25 K25:P25">
    <cfRule type="expression" dxfId="445" priority="3">
      <formula>$B$25="Nb."</formula>
    </cfRule>
  </conditionalFormatting>
  <conditionalFormatting sqref="C26:H26">
    <cfRule type="expression" dxfId="444" priority="10">
      <formula>$G$12="oui"</formula>
    </cfRule>
    <cfRule type="expression" dxfId="443" priority="11">
      <formula>$C$16="Salaire horaire"</formula>
    </cfRule>
  </conditionalFormatting>
  <conditionalFormatting sqref="C28:H28 K28:P28">
    <cfRule type="expression" dxfId="442" priority="37">
      <formula>$G$10="oui"</formula>
    </cfRule>
  </conditionalFormatting>
  <conditionalFormatting sqref="C50:H50">
    <cfRule type="expression" dxfId="441" priority="191">
      <formula>C51&gt;0.01</formula>
    </cfRule>
    <cfRule type="expression" dxfId="440" priority="192">
      <formula>C51&lt;-0.01</formula>
    </cfRule>
  </conditionalFormatting>
  <conditionalFormatting sqref="C51:H51">
    <cfRule type="cellIs" dxfId="439" priority="205" operator="lessThan">
      <formula>-0.04</formula>
    </cfRule>
    <cfRule type="cellIs" dxfId="438" priority="206" operator="greaterThan">
      <formula>0.04</formula>
    </cfRule>
  </conditionalFormatting>
  <conditionalFormatting sqref="G1">
    <cfRule type="containsText" dxfId="437" priority="25" operator="containsText" text="Attention faute">
      <formula>NOT(ISERROR(SEARCH("Attention faute",G1)))</formula>
    </cfRule>
  </conditionalFormatting>
  <conditionalFormatting sqref="G10">
    <cfRule type="expression" dxfId="436" priority="18">
      <formula>$C$16="Salaire horaire"</formula>
    </cfRule>
  </conditionalFormatting>
  <conditionalFormatting sqref="H17:H18 S24">
    <cfRule type="beginsWith" dxfId="435" priority="46" operator="beginsWith" text="ATT">
      <formula>LEFT(H17,LEN("ATT"))="ATT"</formula>
    </cfRule>
  </conditionalFormatting>
  <conditionalFormatting sqref="I25">
    <cfRule type="beginsWith" dxfId="434" priority="5" operator="beginsWith" text="Nom">
      <formula>LEFT(I25,LEN("Nom"))="Nom"</formula>
    </cfRule>
  </conditionalFormatting>
  <conditionalFormatting sqref="I26">
    <cfRule type="containsText" dxfId="433" priority="22" operator="containsText" text="Nombre d'heures">
      <formula>NOT(ISERROR(SEARCH("Nombre d'heures",I26)))</formula>
    </cfRule>
  </conditionalFormatting>
  <conditionalFormatting sqref="I28">
    <cfRule type="containsText" dxfId="432" priority="24" operator="containsText" text="Nombre d'heures II">
      <formula>NOT(ISERROR(SEARCH("Nombre d'heures II",I28)))</formula>
    </cfRule>
  </conditionalFormatting>
  <conditionalFormatting sqref="I24:J24">
    <cfRule type="expression" dxfId="431" priority="23">
      <formula>$G$11="oui"</formula>
    </cfRule>
  </conditionalFormatting>
  <conditionalFormatting sqref="I25:J25">
    <cfRule type="expression" dxfId="430" priority="6">
      <formula>$P$10&gt;0.1</formula>
    </cfRule>
  </conditionalFormatting>
  <conditionalFormatting sqref="I50:J50">
    <cfRule type="expression" dxfId="429" priority="169">
      <formula>$G$11="ja"</formula>
    </cfRule>
  </conditionalFormatting>
  <conditionalFormatting sqref="J25">
    <cfRule type="beginsWith" dxfId="428" priority="4" operator="beginsWith" text="Nb">
      <formula>LEFT(J25,LEN("Nb"))="Nb"</formula>
    </cfRule>
  </conditionalFormatting>
  <conditionalFormatting sqref="J26">
    <cfRule type="containsText" dxfId="427" priority="21" operator="containsText" text="h">
      <formula>NOT(ISERROR(SEARCH("h",J26)))</formula>
    </cfRule>
  </conditionalFormatting>
  <conditionalFormatting sqref="J28">
    <cfRule type="containsText" dxfId="426" priority="20" operator="containsText" text="h">
      <formula>NOT(ISERROR(SEARCH("h",J28)))</formula>
    </cfRule>
  </conditionalFormatting>
  <conditionalFormatting sqref="K22:P22">
    <cfRule type="cellIs" dxfId="425" priority="51" operator="greaterThan">
      <formula>1</formula>
    </cfRule>
  </conditionalFormatting>
  <conditionalFormatting sqref="K26:P26">
    <cfRule type="expression" dxfId="424" priority="34">
      <formula>$G$12="oui"</formula>
    </cfRule>
    <cfRule type="expression" dxfId="423" priority="35">
      <formula>$C$16="Salaire horaire"</formula>
    </cfRule>
  </conditionalFormatting>
  <conditionalFormatting sqref="K50:P50">
    <cfRule type="expression" dxfId="422" priority="179">
      <formula>K51&gt;0.01</formula>
    </cfRule>
    <cfRule type="expression" dxfId="421" priority="180">
      <formula>K51&lt;-0.01</formula>
    </cfRule>
  </conditionalFormatting>
  <conditionalFormatting sqref="K51:P51">
    <cfRule type="cellIs" dxfId="420" priority="201" operator="lessThan">
      <formula>-0.04</formula>
    </cfRule>
    <cfRule type="cellIs" dxfId="419" priority="202" operator="greaterThan">
      <formula>0.04</formula>
    </cfRule>
  </conditionalFormatting>
  <conditionalFormatting sqref="L7">
    <cfRule type="expression" dxfId="418" priority="33">
      <formula>$C$16="à choisir"</formula>
    </cfRule>
  </conditionalFormatting>
  <conditionalFormatting sqref="L12">
    <cfRule type="expression" dxfId="417" priority="43">
      <formula>$G$10="oui"</formula>
    </cfRule>
  </conditionalFormatting>
  <conditionalFormatting sqref="M8">
    <cfRule type="expression" dxfId="416" priority="32">
      <formula>$C$16="Salaire horaire"</formula>
    </cfRule>
    <cfRule type="expression" dxfId="415" priority="26">
      <formula>$C$16="salaire mensuel"</formula>
    </cfRule>
  </conditionalFormatting>
  <conditionalFormatting sqref="M13">
    <cfRule type="expression" dxfId="414" priority="38">
      <formula>$G$10="oui"</formula>
    </cfRule>
  </conditionalFormatting>
  <conditionalFormatting sqref="P1">
    <cfRule type="containsText" dxfId="413" priority="19" operator="containsText" text="Attention faute">
      <formula>NOT(ISERROR(SEARCH("Attention faute",P1)))</formula>
    </cfRule>
  </conditionalFormatting>
  <conditionalFormatting sqref="P7">
    <cfRule type="expression" dxfId="412" priority="41">
      <formula>$Q$7="du Sal.horaire"</formula>
    </cfRule>
  </conditionalFormatting>
  <conditionalFormatting sqref="P10">
    <cfRule type="expression" dxfId="411" priority="44">
      <formula>$Q$10="heures"</formula>
    </cfRule>
  </conditionalFormatting>
  <conditionalFormatting sqref="S20">
    <cfRule type="beginsWith" dxfId="410" priority="8" operator="beginsWith" text="Rema">
      <formula>LEFT(S20,LEN("Rema"))="Rema"</formula>
    </cfRule>
    <cfRule type="beginsWith" dxfId="409" priority="7" operator="beginsWith" text="Ni">
      <formula>LEFT(S20,LEN("Ni"))="Ni"</formula>
    </cfRule>
    <cfRule type="beginsWith" dxfId="408" priority="9" operator="beginsWith" text="La">
      <formula>LEFT(S20,LEN("La"))="La"</formula>
    </cfRule>
  </conditionalFormatting>
  <conditionalFormatting sqref="S28">
    <cfRule type="beginsWith" dxfId="407" priority="45" operator="beginsWith" text="ATT">
      <formula>LEFT(S28,LEN("ATT"))="ATT"</formula>
    </cfRule>
  </conditionalFormatting>
  <conditionalFormatting sqref="S36:S37">
    <cfRule type="beginsWith" dxfId="406" priority="102" operator="beginsWith" text="Att">
      <formula>LEFT(S36,LEN("Att"))="Att"</formula>
    </cfRule>
  </conditionalFormatting>
  <conditionalFormatting sqref="A64:Q64">
    <cfRule type="expression" dxfId="405" priority="1">
      <formula>$G$12="non"</formula>
    </cfRule>
  </conditionalFormatting>
  <conditionalFormatting sqref="A60:Q63">
    <cfRule type="expression" dxfId="404" priority="2">
      <formula>$G$12="non"</formula>
    </cfRule>
  </conditionalFormatting>
  <dataValidations disablePrompts="1" count="7">
    <dataValidation type="list" allowBlank="1" showInputMessage="1" showErrorMessage="1" sqref="G10" xr:uid="{00000000-0002-0000-0200-000001000000}">
      <formula1>$AC$13:$AC$14</formula1>
    </dataValidation>
    <dataValidation type="list" allowBlank="1" showInputMessage="1" showErrorMessage="1" sqref="C17" xr:uid="{00000000-0002-0000-0200-000002000000}">
      <formula1>$Y$11:$Y$12</formula1>
    </dataValidation>
    <dataValidation type="list" allowBlank="1" showInputMessage="1" showErrorMessage="1" sqref="C10" xr:uid="{BE0047D1-F813-4932-81E1-DDC928F4FAEA}">
      <formula1>$X$6:$X$8</formula1>
    </dataValidation>
    <dataValidation type="list" allowBlank="1" showInputMessage="1" showErrorMessage="1" sqref="F9:G9" xr:uid="{E3C270D0-5892-48F2-B92D-CA2DAE96B161}">
      <formula1>$AB$6:$AB$19</formula1>
    </dataValidation>
    <dataValidation type="list" allowBlank="1" showInputMessage="1" showErrorMessage="1" sqref="C16" xr:uid="{BF8F6DFA-BAC8-413B-8A2A-EB93001302F7}">
      <formula1>$X$11:$X$13</formula1>
    </dataValidation>
    <dataValidation type="list" allowBlank="1" showInputMessage="1" showErrorMessage="1" sqref="G13" xr:uid="{E521A6F9-3568-4E96-9E07-D64D3CD89F9F}">
      <formula1>$Y$6:$Y$8</formula1>
    </dataValidation>
    <dataValidation type="list" allowBlank="1" showInputMessage="1" showErrorMessage="1" sqref="G11:G12" xr:uid="{C8F810E1-5D74-41F8-8684-7FED64AD4D45}">
      <formula1>$AH$6:$AH$8</formula1>
    </dataValidation>
  </dataValidations>
  <hyperlinks>
    <hyperlink ref="G1:H3" location="Fehler1" display="Fehler1" xr:uid="{1E307BE4-B5BE-4EA9-A71F-90A34EE06861}"/>
    <hyperlink ref="P1:Q3" location="Fehler1" display="Fehler1" xr:uid="{9EE98644-8D45-447D-9EAB-405B605D4CE7}"/>
  </hyperlinks>
  <pageMargins left="0.39370078740157483" right="0.39370078740157483" top="0.78740157480314965" bottom="0.39370078740157483" header="0.15748031496062992" footer="0.19685039370078741"/>
  <pageSetup paperSize="9" scale="86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7.0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BD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19.7109375" style="1" customWidth="1"/>
    <col min="10" max="10" width="4.5703125" style="1" bestFit="1" customWidth="1"/>
    <col min="11" max="16" width="12.28515625" style="1" customWidth="1"/>
    <col min="17" max="17" width="13.28515625" style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hidden="1" customWidth="1"/>
    <col min="38" max="16384" width="11.42578125" style="1"/>
  </cols>
  <sheetData>
    <row r="1" spans="1:35" ht="12.75" customHeight="1" x14ac:dyDescent="0.2">
      <c r="A1" s="443" t="str">
        <f>'PA 1'!A1:C1</f>
        <v>Nom/Prénom employeur</v>
      </c>
      <c r="B1" s="443"/>
      <c r="C1" s="443"/>
      <c r="D1" s="453">
        <v>45657</v>
      </c>
      <c r="E1" s="453"/>
      <c r="F1" s="453"/>
      <c r="G1" s="444" t="str">
        <f>IF($W45&gt;4,"Attention erreur!",IF($W$45&gt;0,"Attention remarque!",""))</f>
        <v/>
      </c>
      <c r="H1" s="444"/>
      <c r="I1" s="460" t="str">
        <f>A1</f>
        <v>Nom/Prénom employeur</v>
      </c>
      <c r="J1" s="460"/>
      <c r="K1" s="460"/>
      <c r="L1" s="453">
        <f>D1</f>
        <v>45657</v>
      </c>
      <c r="M1" s="453"/>
      <c r="N1" s="453"/>
      <c r="O1" s="453"/>
      <c r="P1" s="444" t="str">
        <f>IF($W45&gt;4,"Attention erreur!",IF($W$45&gt;0,"Attention remarque!",""))</f>
        <v/>
      </c>
      <c r="Q1" s="444"/>
      <c r="S1" s="246" t="s">
        <v>47</v>
      </c>
      <c r="T1" s="260"/>
      <c r="U1" s="361" t="s">
        <v>48</v>
      </c>
      <c r="V1" s="362" t="s">
        <v>49</v>
      </c>
      <c r="W1" s="68"/>
      <c r="AE1" s="1"/>
    </row>
    <row r="2" spans="1:35" ht="12.75" customHeight="1" x14ac:dyDescent="0.2">
      <c r="A2" s="443" t="str">
        <f>'PA 1'!A2:C2</f>
        <v>Lieu employeur</v>
      </c>
      <c r="B2" s="443"/>
      <c r="C2" s="443"/>
      <c r="D2" s="453"/>
      <c r="E2" s="453"/>
      <c r="F2" s="453"/>
      <c r="G2" s="444"/>
      <c r="H2" s="444"/>
      <c r="I2" s="460" t="str">
        <f>A2</f>
        <v>Lieu employeur</v>
      </c>
      <c r="J2" s="460"/>
      <c r="K2" s="460"/>
      <c r="L2" s="453"/>
      <c r="M2" s="453"/>
      <c r="N2" s="453"/>
      <c r="O2" s="453"/>
      <c r="P2" s="444"/>
      <c r="Q2" s="444"/>
      <c r="S2" s="249" t="s">
        <v>51</v>
      </c>
      <c r="T2" s="2"/>
      <c r="U2" s="218">
        <f>IF(C16="Salaire horaire",(M8*M7*52)+(M13*M12*52),(M8+Y13)*12)</f>
        <v>0</v>
      </c>
      <c r="V2" s="261"/>
      <c r="W2" s="68"/>
      <c r="Y2" s="466" t="s">
        <v>52</v>
      </c>
      <c r="AA2" s="466" t="s">
        <v>53</v>
      </c>
      <c r="AE2" s="1"/>
    </row>
    <row r="3" spans="1:35" ht="5.0999999999999996" customHeight="1" x14ac:dyDescent="0.2">
      <c r="G3" s="444"/>
      <c r="H3" s="444"/>
      <c r="P3" s="444"/>
      <c r="Q3" s="444"/>
      <c r="S3" s="254"/>
      <c r="V3" s="250"/>
      <c r="W3" s="68"/>
      <c r="Y3" s="466"/>
      <c r="AA3" s="466"/>
      <c r="AE3" s="1"/>
    </row>
    <row r="4" spans="1:35" ht="15.75" customHeight="1" thickBot="1" x14ac:dyDescent="0.3">
      <c r="A4" s="41" t="s">
        <v>54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0" t="s">
        <v>55</v>
      </c>
      <c r="J4" s="360"/>
      <c r="K4" s="360"/>
      <c r="L4" s="360"/>
      <c r="M4" s="42"/>
      <c r="N4" s="42"/>
      <c r="O4" s="42"/>
      <c r="P4" s="42"/>
      <c r="Q4" s="51" t="str">
        <f>CONCATENATE($C$6," ",$C$7)</f>
        <v xml:space="preserve"> </v>
      </c>
      <c r="S4" s="454" t="s">
        <v>56</v>
      </c>
      <c r="T4" s="455"/>
      <c r="U4" s="262">
        <f>((U2-(U2*SUM(T8:T14,T16,Y9)+(12*T15)))*Z14)</f>
        <v>0</v>
      </c>
      <c r="V4" s="263">
        <f>U4/365</f>
        <v>0</v>
      </c>
      <c r="W4" s="68"/>
      <c r="X4" s="464" t="s">
        <v>57</v>
      </c>
      <c r="Y4" s="466"/>
      <c r="Z4" s="464" t="s">
        <v>58</v>
      </c>
      <c r="AA4" s="466"/>
      <c r="AB4" s="467" t="s">
        <v>59</v>
      </c>
      <c r="AC4" s="468" t="s">
        <v>60</v>
      </c>
      <c r="AD4" s="465" t="s">
        <v>61</v>
      </c>
      <c r="AE4" s="1"/>
      <c r="AH4" s="464" t="s">
        <v>62</v>
      </c>
      <c r="AI4" s="464"/>
    </row>
    <row r="5" spans="1:35" ht="5.0999999999999996" customHeight="1" x14ac:dyDescent="0.2">
      <c r="X5" s="464"/>
      <c r="Y5" s="466"/>
      <c r="Z5" s="464"/>
      <c r="AA5" s="466"/>
      <c r="AB5" s="467"/>
      <c r="AC5" s="468"/>
      <c r="AD5" s="465"/>
      <c r="AE5" s="2"/>
      <c r="AF5" s="4"/>
      <c r="AG5" s="48"/>
      <c r="AH5" s="464"/>
      <c r="AI5" s="464"/>
    </row>
    <row r="6" spans="1:35" s="2" customFormat="1" ht="13.5" thickBot="1" x14ac:dyDescent="0.25">
      <c r="A6" s="2" t="s">
        <v>63</v>
      </c>
      <c r="C6" s="452"/>
      <c r="D6" s="452"/>
      <c r="E6" s="2" t="s">
        <v>64</v>
      </c>
      <c r="F6" s="445"/>
      <c r="G6" s="445"/>
      <c r="I6" s="6" t="s">
        <v>65</v>
      </c>
      <c r="N6" s="6" t="str">
        <f>IF(AND(C16="Salaire horaire",G11="oui"),"Calcul de l'indemnité les heures de garde","")</f>
        <v/>
      </c>
      <c r="W6" s="180"/>
      <c r="X6" s="2" t="s">
        <v>66</v>
      </c>
      <c r="Y6" s="2" t="s">
        <v>66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28" t="s">
        <v>66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67</v>
      </c>
      <c r="AG6" s="49"/>
      <c r="AH6" s="2" t="s">
        <v>66</v>
      </c>
    </row>
    <row r="7" spans="1:35" s="2" customFormat="1" x14ac:dyDescent="0.2">
      <c r="A7" s="2" t="s">
        <v>68</v>
      </c>
      <c r="C7" s="452"/>
      <c r="D7" s="452"/>
      <c r="E7" s="2" t="s">
        <v>69</v>
      </c>
      <c r="F7" s="445"/>
      <c r="G7" s="445"/>
      <c r="I7" s="2" t="str">
        <f>IF(C16="Salaire horaire",IF(G10="oui","Taux d'occupation I","Taux d'occupation"),IF(C16="Salaire mensuel","Taux d'occupation",""))</f>
        <v/>
      </c>
      <c r="L7" s="406"/>
      <c r="M7" s="371">
        <f>42*L7</f>
        <v>0</v>
      </c>
      <c r="N7" s="2" t="str">
        <f>IF(AND(C16="Salaire horaire",G11="oui"),"1 heure de garde =","")</f>
        <v/>
      </c>
      <c r="P7" s="304"/>
      <c r="Q7" s="2" t="str">
        <f>IF(AND(C16="Salaire horaire",G11="oui"),"du Sal.horaire","")</f>
        <v/>
      </c>
      <c r="S7" s="246" t="s">
        <v>70</v>
      </c>
      <c r="T7" s="247" t="s">
        <v>71</v>
      </c>
      <c r="U7" s="248"/>
      <c r="W7" s="1"/>
      <c r="X7" s="2" t="s">
        <v>72</v>
      </c>
      <c r="Y7" s="2" t="s">
        <v>73</v>
      </c>
      <c r="Z7" s="59" t="str">
        <f>IF(OR(G13="ordinaire",G13="à choisir"),"ordinaire","")</f>
        <v>ordinaire</v>
      </c>
      <c r="AA7" s="59"/>
      <c r="AB7" s="59" t="s">
        <v>74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75</v>
      </c>
      <c r="AG7" s="49">
        <f>IF(C16="Salaire horaire",(M7*52/12)*12*M8,(M8)*12)</f>
        <v>0</v>
      </c>
      <c r="AH7" s="2" t="s">
        <v>76</v>
      </c>
    </row>
    <row r="8" spans="1:35" s="2" customFormat="1" ht="12" customHeight="1" x14ac:dyDescent="0.2">
      <c r="A8" s="2" t="s">
        <v>77</v>
      </c>
      <c r="C8" s="452"/>
      <c r="D8" s="452"/>
      <c r="E8" s="2" t="s">
        <v>78</v>
      </c>
      <c r="F8" s="452"/>
      <c r="G8" s="452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5"/>
      <c r="S8" s="249" t="s">
        <v>79</v>
      </c>
      <c r="T8" s="251">
        <f>IF(F7="",0,IF(DATEDIF($F$7,D1,"Y")&lt;18,0,5.3%))</f>
        <v>0</v>
      </c>
      <c r="U8" s="250"/>
      <c r="W8" s="152"/>
      <c r="X8" s="2" t="s">
        <v>80</v>
      </c>
      <c r="Y8" s="59" t="s">
        <v>81</v>
      </c>
      <c r="Z8" s="59"/>
      <c r="AB8" s="59" t="s">
        <v>82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83</v>
      </c>
    </row>
    <row r="9" spans="1:35" s="2" customFormat="1" x14ac:dyDescent="0.2">
      <c r="A9" s="2" t="s">
        <v>84</v>
      </c>
      <c r="C9" s="452"/>
      <c r="D9" s="452"/>
      <c r="E9" s="2" t="s">
        <v>85</v>
      </c>
      <c r="F9" s="456" t="s">
        <v>66</v>
      </c>
      <c r="G9" s="456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3" t="str">
        <f>IF($C$16="Salaire horaire",M8/(1+L9)*L9,"")</f>
        <v/>
      </c>
      <c r="N9" s="6" t="str">
        <f>IF(C16="Salaire horaire","Conversion des engagements de nuit en heures","")</f>
        <v/>
      </c>
      <c r="S9" s="249" t="s">
        <v>86</v>
      </c>
      <c r="T9" s="251">
        <f>IF(DATEDIF($F$7,D1,"Y")&lt;18,0,IF(DATEDIF($F$7,C21,"Y")&gt;(IF($C$10="féminin",63,64)),0,1.1%))</f>
        <v>0</v>
      </c>
      <c r="U9" s="252"/>
      <c r="W9" s="181"/>
      <c r="Y9" s="75">
        <f>IF(G13="à choisir",0,IF(AND(Z6="simplifiée",'PA 1'!Z6="simplifiée",'PA 2'!Z6="simplifiée",'PA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87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88</v>
      </c>
      <c r="C10" s="405" t="s">
        <v>66</v>
      </c>
      <c r="E10" s="2" t="str">
        <f>IF(C16="Salaire horaire","Avez-vous 2 différents sal. horaire?","")</f>
        <v/>
      </c>
      <c r="G10" s="427"/>
      <c r="H10" s="168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4" t="str">
        <f>IF($C$16="Salaire horaire",M8-M9,"")</f>
        <v/>
      </c>
      <c r="N10" s="2" t="str">
        <f>IF(C16="Salaire horaire","1 nuit correspond à","")</f>
        <v/>
      </c>
      <c r="P10" s="264"/>
      <c r="Q10" s="2" t="str">
        <f>IF(C16="Salaire horaire","heures","")</f>
        <v/>
      </c>
      <c r="S10" s="249"/>
      <c r="T10" s="251"/>
      <c r="U10" s="252"/>
      <c r="W10" s="1"/>
      <c r="X10" s="6" t="s">
        <v>89</v>
      </c>
      <c r="Y10" s="6" t="s">
        <v>90</v>
      </c>
      <c r="Z10" s="64" t="s">
        <v>91</v>
      </c>
      <c r="AB10" s="59" t="s">
        <v>92</v>
      </c>
      <c r="AD10" s="59" t="e">
        <f>ROUND(M8/L7,0)</f>
        <v>#DIV/0!</v>
      </c>
    </row>
    <row r="11" spans="1:35" s="2" customFormat="1" ht="13.5" customHeight="1" x14ac:dyDescent="0.2">
      <c r="A11" s="2" t="s">
        <v>93</v>
      </c>
      <c r="C11" s="405"/>
      <c r="E11" s="2" t="s">
        <v>94</v>
      </c>
      <c r="G11" s="405" t="s">
        <v>66</v>
      </c>
      <c r="S11" s="249" t="s">
        <v>95</v>
      </c>
      <c r="T11" s="407"/>
      <c r="U11" s="253" t="s">
        <v>96</v>
      </c>
      <c r="W11" s="1"/>
      <c r="X11" s="2" t="s">
        <v>66</v>
      </c>
      <c r="Y11" s="2" t="str">
        <f>IF(C16="Salaire mensuel","oui","")</f>
        <v/>
      </c>
      <c r="Z11" s="179">
        <f>IF(G13="simplifiée",126.8%,0)</f>
        <v>0</v>
      </c>
      <c r="AB11" s="59" t="s">
        <v>97</v>
      </c>
      <c r="AD11" s="59"/>
    </row>
    <row r="12" spans="1:35" s="2" customFormat="1" ht="13.5" customHeight="1" x14ac:dyDescent="0.2">
      <c r="A12" s="2" t="s">
        <v>98</v>
      </c>
      <c r="C12" s="405"/>
      <c r="E12" s="2" t="s">
        <v>99</v>
      </c>
      <c r="G12" s="405" t="s">
        <v>66</v>
      </c>
      <c r="I12" s="2" t="str">
        <f>IF(G10="oui","Taux d'occupation II","")</f>
        <v/>
      </c>
      <c r="L12" s="217"/>
      <c r="M12" s="242">
        <f>42*L12</f>
        <v>0</v>
      </c>
      <c r="S12" s="249"/>
      <c r="T12" s="1"/>
      <c r="U12" s="250"/>
      <c r="W12" s="1"/>
      <c r="X12" s="2" t="s">
        <v>100</v>
      </c>
      <c r="Y12" s="2" t="str">
        <f>IF(C16="Salaire mensuel","non","")</f>
        <v/>
      </c>
      <c r="Z12" s="179">
        <f>IF(AND(G13="ordinaire",T15=0,T16=0),119.9%,0)</f>
        <v>0</v>
      </c>
      <c r="AA12" s="59"/>
      <c r="AB12" s="59" t="s">
        <v>101</v>
      </c>
      <c r="AC12" s="64" t="s">
        <v>102</v>
      </c>
      <c r="AD12" s="59"/>
    </row>
    <row r="13" spans="1:35" s="2" customFormat="1" ht="12.75" customHeight="1" x14ac:dyDescent="0.2">
      <c r="A13" s="2" t="s">
        <v>103</v>
      </c>
      <c r="C13" s="405"/>
      <c r="E13" s="2" t="s">
        <v>104</v>
      </c>
      <c r="G13" s="405" t="s">
        <v>66</v>
      </c>
      <c r="I13" s="5" t="str">
        <f>IF(G10="oui","Salaire horaire II (avec Suppl. vacances)","")</f>
        <v/>
      </c>
      <c r="L13" s="4"/>
      <c r="M13" s="245"/>
      <c r="S13" s="249" t="s">
        <v>105</v>
      </c>
      <c r="T13" s="408"/>
      <c r="U13" s="253" t="s">
        <v>96</v>
      </c>
      <c r="W13" s="68"/>
      <c r="X13" s="2" t="s">
        <v>106</v>
      </c>
      <c r="Y13" s="2">
        <f>IF(C17="oui",M8/12,0)</f>
        <v>0</v>
      </c>
      <c r="Z13" s="179">
        <f>IF(OR(T15&gt;0,T16&gt;0),129.2%,0)</f>
        <v>0</v>
      </c>
      <c r="AA13" s="59"/>
      <c r="AB13" s="59" t="s">
        <v>107</v>
      </c>
      <c r="AC13" s="59" t="s">
        <v>76</v>
      </c>
      <c r="AD13" s="59"/>
    </row>
    <row r="14" spans="1:35" s="2" customFormat="1" ht="12.75" customHeight="1" x14ac:dyDescent="0.2">
      <c r="A14" s="2" t="s">
        <v>108</v>
      </c>
      <c r="C14" s="409"/>
      <c r="E14" s="2" t="s">
        <v>109</v>
      </c>
      <c r="F14" s="452"/>
      <c r="G14" s="452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3" t="str">
        <f>IF(G10="oui",M13/(1+L14)*L14,"")</f>
        <v/>
      </c>
      <c r="S14" s="254"/>
      <c r="T14" s="1"/>
      <c r="U14" s="250"/>
      <c r="W14" s="68"/>
      <c r="Y14" s="151">
        <f>M8</f>
        <v>0</v>
      </c>
      <c r="Z14" s="179">
        <f>SUM(Z11:Z13)</f>
        <v>0</v>
      </c>
      <c r="AA14" s="59"/>
      <c r="AB14" s="58" t="s">
        <v>110</v>
      </c>
      <c r="AC14" s="59" t="s">
        <v>83</v>
      </c>
      <c r="AD14" s="59"/>
    </row>
    <row r="15" spans="1:35" s="2" customFormat="1" ht="12.75" customHeight="1" x14ac:dyDescent="0.2">
      <c r="A15" s="2" t="s">
        <v>111</v>
      </c>
      <c r="C15" s="409"/>
      <c r="E15" s="2" t="s">
        <v>112</v>
      </c>
      <c r="F15" s="452"/>
      <c r="G15" s="452"/>
      <c r="I15" s="5" t="str">
        <f>IF(G10="oui","Salaire horaire II (sans Suppl. vacances)","")</f>
        <v/>
      </c>
      <c r="M15" s="244" t="str">
        <f>IF(G10="oui",M13-M14,"")</f>
        <v/>
      </c>
      <c r="S15" s="249" t="s">
        <v>113</v>
      </c>
      <c r="T15" s="410"/>
      <c r="U15" s="255" t="s">
        <v>114</v>
      </c>
      <c r="W15" s="1"/>
      <c r="Y15" s="2">
        <f>SUM(Y13:Y14)</f>
        <v>0</v>
      </c>
      <c r="Z15" s="59"/>
      <c r="AA15" s="59"/>
      <c r="AB15" s="59" t="s">
        <v>115</v>
      </c>
      <c r="AD15" s="59"/>
    </row>
    <row r="16" spans="1:35" s="2" customFormat="1" ht="12.75" customHeight="1" thickBot="1" x14ac:dyDescent="0.25">
      <c r="A16" s="2" t="s">
        <v>116</v>
      </c>
      <c r="C16" s="405" t="s">
        <v>66</v>
      </c>
      <c r="E16" s="2" t="s">
        <v>117</v>
      </c>
      <c r="F16" s="452"/>
      <c r="G16" s="452"/>
      <c r="S16" s="256" t="s">
        <v>118</v>
      </c>
      <c r="T16" s="411"/>
      <c r="U16" s="257" t="s">
        <v>119</v>
      </c>
      <c r="W16" s="1"/>
      <c r="Z16" s="59"/>
      <c r="AA16" s="59"/>
      <c r="AB16" s="58" t="s">
        <v>120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27"/>
      <c r="D17" s="168" t="str">
        <f>IF(C17&gt;1,"",IF(A17="13ème salaire","à choisir",""))</f>
        <v/>
      </c>
      <c r="H17" s="167"/>
      <c r="W17" s="1"/>
      <c r="X17" s="59"/>
      <c r="Y17" s="59"/>
      <c r="Z17" s="59"/>
      <c r="AA17" s="59"/>
      <c r="AB17" s="59" t="s">
        <v>121</v>
      </c>
      <c r="AC17" s="59"/>
      <c r="AD17" s="59"/>
    </row>
    <row r="18" spans="1:37" s="2" customFormat="1" x14ac:dyDescent="0.2">
      <c r="H18" s="167"/>
      <c r="M18" s="167"/>
      <c r="S18" s="469" t="s">
        <v>122</v>
      </c>
      <c r="T18" s="470"/>
      <c r="U18" s="471"/>
      <c r="V18" s="334"/>
      <c r="X18" s="153"/>
      <c r="Y18" s="154"/>
      <c r="Z18" s="59"/>
      <c r="AA18" s="59"/>
      <c r="AB18" s="2" t="s">
        <v>123</v>
      </c>
      <c r="AD18" s="59"/>
      <c r="AE18" s="59"/>
    </row>
    <row r="19" spans="1:37" s="2" customFormat="1" ht="15" x14ac:dyDescent="0.25">
      <c r="A19" s="41" t="s">
        <v>124</v>
      </c>
      <c r="B19" s="41"/>
      <c r="C19" s="52"/>
      <c r="D19" s="52"/>
      <c r="E19" s="52"/>
      <c r="F19" s="52"/>
      <c r="G19" s="52"/>
      <c r="H19" s="52"/>
      <c r="I19" s="41" t="s">
        <v>124</v>
      </c>
      <c r="J19" s="41"/>
      <c r="K19" s="52"/>
      <c r="L19" s="52"/>
      <c r="M19" s="52"/>
      <c r="N19" s="52"/>
      <c r="O19" s="52"/>
      <c r="P19" s="52"/>
      <c r="Q19" s="52"/>
      <c r="S19" s="258"/>
      <c r="U19" s="259"/>
      <c r="X19" s="153"/>
      <c r="Y19" s="154"/>
      <c r="Z19" s="59"/>
      <c r="AA19" s="59"/>
      <c r="AB19" s="59" t="s">
        <v>125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2"/>
      <c r="U20" s="463"/>
      <c r="V20" s="404"/>
      <c r="X20" s="153"/>
      <c r="Y20" s="154"/>
      <c r="Z20" s="59"/>
      <c r="AA20" s="59"/>
      <c r="AB20" s="59"/>
      <c r="AD20" s="59"/>
      <c r="AE20" s="59"/>
    </row>
    <row r="21" spans="1:37" s="2" customFormat="1" ht="12" x14ac:dyDescent="0.2">
      <c r="A21" s="306">
        <f>D1</f>
        <v>45657</v>
      </c>
      <c r="B21" s="265"/>
      <c r="C21" s="82">
        <v>45292</v>
      </c>
      <c r="D21" s="82">
        <v>45323</v>
      </c>
      <c r="E21" s="82">
        <v>45352</v>
      </c>
      <c r="F21" s="82">
        <v>45383</v>
      </c>
      <c r="G21" s="82">
        <v>45413</v>
      </c>
      <c r="H21" s="69">
        <v>45444</v>
      </c>
      <c r="I21" s="306">
        <f t="shared" ref="I21:I52" si="0">A21</f>
        <v>45657</v>
      </c>
      <c r="J21" s="265"/>
      <c r="K21" s="82">
        <v>45474</v>
      </c>
      <c r="L21" s="82">
        <v>45505</v>
      </c>
      <c r="M21" s="82">
        <v>45536</v>
      </c>
      <c r="N21" s="82">
        <v>45566</v>
      </c>
      <c r="O21" s="82">
        <v>45597</v>
      </c>
      <c r="P21" s="69">
        <v>45627</v>
      </c>
      <c r="Q21" s="97" t="s">
        <v>126</v>
      </c>
      <c r="S21" s="461"/>
      <c r="T21" s="462"/>
      <c r="U21" s="463"/>
      <c r="V21" s="404"/>
      <c r="W21" s="2">
        <f>IF(S20="Hinweis: Wenn der AHV Freibetrag nicht überschritten wird, muss ein Lohnausweis erstellt werden!",1,IF(S20=0,0,5))</f>
        <v>0</v>
      </c>
      <c r="X21" s="153"/>
      <c r="Y21" s="154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07" t="str">
        <f>IF($C$16="Salaire horaire","",IF(C16="à choisir","","Salaire mensuel"))</f>
        <v/>
      </c>
      <c r="B22" s="266" t="str">
        <f>IF(A22="Salaire mensuel","CHF"," ")</f>
        <v xml:space="preserve"> </v>
      </c>
      <c r="C22" s="281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1">
        <f t="shared" si="1"/>
        <v>0</v>
      </c>
      <c r="E22" s="281">
        <f t="shared" si="1"/>
        <v>0</v>
      </c>
      <c r="F22" s="281">
        <f t="shared" si="1"/>
        <v>0</v>
      </c>
      <c r="G22" s="281">
        <f t="shared" si="1"/>
        <v>0</v>
      </c>
      <c r="H22" s="282">
        <f t="shared" si="1"/>
        <v>0</v>
      </c>
      <c r="I22" s="308" t="str">
        <f t="shared" si="0"/>
        <v/>
      </c>
      <c r="J22" s="266" t="str">
        <f>IF(I22="Salaire mensuel","CHF"," ")</f>
        <v xml:space="preserve"> </v>
      </c>
      <c r="K22" s="281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2">
        <f t="shared" si="2"/>
        <v>0</v>
      </c>
      <c r="Q22" s="298">
        <f t="shared" ref="Q22:Q37" si="3">ROUND((SUM(C22:H22)+SUM(K22:P22))*20,0)/20</f>
        <v>0</v>
      </c>
      <c r="S22" s="461"/>
      <c r="T22" s="462"/>
      <c r="U22" s="463"/>
      <c r="V22" s="404"/>
      <c r="X22" s="153"/>
      <c r="Y22" s="154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07" t="str">
        <f>IF($C$16="Salaire horaire","",(IF($C$17="oui","13. Salaire mensuel","")))</f>
        <v/>
      </c>
      <c r="B23" s="266" t="str">
        <f>IF(A23="13. Salaire mensuel","CHF"," ")</f>
        <v xml:space="preserve"> </v>
      </c>
      <c r="C23" s="281">
        <f>IF(OR($C$16="Salaire horaire",$C$16="à choisir"),0,(IF($C$17="oui",(C$22+C32+C33)/12,"")))</f>
        <v>0</v>
      </c>
      <c r="D23" s="283">
        <f t="shared" ref="D23:H23" si="4">IF(OR($C$16="Salaire horaire",$C$16="à choisir"),0,(IF($C$17="oui",(D$22+D32+D33)/12,"")))</f>
        <v>0</v>
      </c>
      <c r="E23" s="283">
        <f t="shared" si="4"/>
        <v>0</v>
      </c>
      <c r="F23" s="283">
        <f t="shared" si="4"/>
        <v>0</v>
      </c>
      <c r="G23" s="283">
        <f t="shared" si="4"/>
        <v>0</v>
      </c>
      <c r="H23" s="282">
        <f t="shared" si="4"/>
        <v>0</v>
      </c>
      <c r="I23" s="308" t="str">
        <f t="shared" si="0"/>
        <v/>
      </c>
      <c r="J23" s="266" t="str">
        <f>IF(I23="13. Salaire mensuel","CHF"," ")</f>
        <v xml:space="preserve"> </v>
      </c>
      <c r="K23" s="283">
        <f t="shared" ref="K23:P23" si="5">IF(OR($C$16="Salaire horaire",$C$16="à choisir"),0,(IF($C$17="oui",(K$22+K32+K33)/12,"")))</f>
        <v>0</v>
      </c>
      <c r="L23" s="283">
        <f t="shared" si="5"/>
        <v>0</v>
      </c>
      <c r="M23" s="283">
        <f t="shared" si="5"/>
        <v>0</v>
      </c>
      <c r="N23" s="299">
        <f t="shared" si="5"/>
        <v>0</v>
      </c>
      <c r="O23" s="283">
        <f t="shared" si="5"/>
        <v>0</v>
      </c>
      <c r="P23" s="282">
        <f t="shared" si="5"/>
        <v>0</v>
      </c>
      <c r="Q23" s="236">
        <f t="shared" si="3"/>
        <v>0</v>
      </c>
      <c r="S23" s="258"/>
      <c r="U23" s="259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0" t="str">
        <f>IF(G11="oui","Nombre d'heures 
de garde","")</f>
        <v/>
      </c>
      <c r="B24" s="369" t="str">
        <f>IF(A24="Nombre d'heures 
de garde","h"," ")</f>
        <v xml:space="preserve"> </v>
      </c>
      <c r="C24" s="283"/>
      <c r="D24" s="283"/>
      <c r="E24" s="283"/>
      <c r="F24" s="283"/>
      <c r="G24" s="283"/>
      <c r="H24" s="282"/>
      <c r="I24" s="370" t="str">
        <f t="shared" si="0"/>
        <v/>
      </c>
      <c r="J24" s="369" t="str">
        <f>B24</f>
        <v xml:space="preserve"> </v>
      </c>
      <c r="K24" s="283"/>
      <c r="L24" s="283"/>
      <c r="M24" s="283"/>
      <c r="N24" s="283"/>
      <c r="O24" s="283"/>
      <c r="P24" s="282"/>
      <c r="Q24" s="300">
        <f t="shared" si="3"/>
        <v>0</v>
      </c>
      <c r="S24" s="461">
        <f>IF(OR(AND(Z6="simplifiée",'PA 1'!Z6="simplifiée",'PA 2'!Z6="simplifiée",'PA 4'!Z6="simplifiée",'PA 5'!Z6="simplifiée",'PA 6'!Z6="simplifiée",'PA 7'!Z6="simplifiée",'PA 8'!Z6="simplifiée",'PA 9'!Z6="simplifiée"),(AND(Z7="ordinaire",'PA 1'!Z7="ordinaire",'PA 2'!Z7="ordinaire",'PA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62"/>
      <c r="U24" s="463"/>
      <c r="V24" s="404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0" t="str">
        <f>IF(AND(C16="Salaire mensuel",G12="oui"),"Nombre d'engagements de nuit",IF(P10&gt;0.1,"Nombre d'engagements de nuit",""))</f>
        <v/>
      </c>
      <c r="B25" s="266" t="str">
        <f>IF(A25="Nombre d'engagements de nuit","Nb."," ")</f>
        <v xml:space="preserve"> </v>
      </c>
      <c r="C25" s="284"/>
      <c r="D25" s="284"/>
      <c r="E25" s="284"/>
      <c r="F25" s="284"/>
      <c r="G25" s="284"/>
      <c r="H25" s="285"/>
      <c r="I25" s="370" t="str">
        <f t="shared" si="0"/>
        <v/>
      </c>
      <c r="J25" s="266" t="str">
        <f>B25</f>
        <v xml:space="preserve"> </v>
      </c>
      <c r="K25" s="284"/>
      <c r="L25" s="284"/>
      <c r="M25" s="284"/>
      <c r="N25" s="284"/>
      <c r="O25" s="284"/>
      <c r="P25" s="301"/>
      <c r="Q25" s="298">
        <f t="shared" si="3"/>
        <v>0</v>
      </c>
      <c r="R25" s="76"/>
      <c r="S25" s="461"/>
      <c r="T25" s="462"/>
      <c r="U25" s="463"/>
      <c r="V25" s="404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08" t="str">
        <f>IF(AND($C$16="Salaire mensuel",$G$12="oui"),"Nombre d'heures",IF(C16="Salaire horaire",IF(G10="oui","Nombre d'heures I","Nombre d'heures"),""))</f>
        <v/>
      </c>
      <c r="B26" s="267" t="str">
        <f>IF(OR(A26="Nombre d'heures Standard",A26="Nombre d'heures",A26="Nombre d'heures I"),"h"," ")</f>
        <v xml:space="preserve"> </v>
      </c>
      <c r="C26" s="283"/>
      <c r="D26" s="283"/>
      <c r="E26" s="283"/>
      <c r="F26" s="283"/>
      <c r="G26" s="283"/>
      <c r="H26" s="282"/>
      <c r="I26" s="308" t="str">
        <f t="shared" si="0"/>
        <v/>
      </c>
      <c r="J26" s="267" t="str">
        <f>IF(OR(I26="Nombre d'heures Standard",I26="Nombre d'heures",I26="Nombre d'heures I"),"h"," ")</f>
        <v xml:space="preserve"> </v>
      </c>
      <c r="K26" s="283"/>
      <c r="L26" s="283"/>
      <c r="M26" s="283"/>
      <c r="N26" s="283"/>
      <c r="O26" s="283"/>
      <c r="P26" s="282"/>
      <c r="Q26" s="300">
        <f t="shared" si="3"/>
        <v>0</v>
      </c>
      <c r="R26" s="76"/>
      <c r="S26" s="461"/>
      <c r="T26" s="462"/>
      <c r="U26" s="463"/>
      <c r="V26" s="404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08" t="str">
        <f>IF($C$16="Salaire horaire",IF(G10="oui","Salaire horaire I","Salaire horaire"),"")</f>
        <v/>
      </c>
      <c r="B27" s="266" t="str">
        <f>IF(OR(A27="Salaire horaire Standard",A27="Salaire horaire",A27="Salaire horaire I"),"CHF"," ")</f>
        <v xml:space="preserve"> </v>
      </c>
      <c r="C27" s="233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3" t="str">
        <f t="shared" si="6"/>
        <v/>
      </c>
      <c r="E27" s="233" t="str">
        <f t="shared" si="6"/>
        <v/>
      </c>
      <c r="F27" s="233" t="str">
        <f t="shared" si="6"/>
        <v/>
      </c>
      <c r="G27" s="233" t="str">
        <f t="shared" si="6"/>
        <v/>
      </c>
      <c r="H27" s="234" t="str">
        <f t="shared" si="6"/>
        <v/>
      </c>
      <c r="I27" s="308" t="str">
        <f t="shared" si="0"/>
        <v/>
      </c>
      <c r="J27" s="266" t="str">
        <f>IF(OR(I27="Salaire horaire Standard",I27="Salaire horaire",I27="Salaire horaire I"),"CHF"," ")</f>
        <v xml:space="preserve"> </v>
      </c>
      <c r="K27" s="233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3" t="str">
        <f t="shared" si="7"/>
        <v/>
      </c>
      <c r="M27" s="233" t="str">
        <f t="shared" si="7"/>
        <v/>
      </c>
      <c r="N27" s="233" t="str">
        <f t="shared" si="7"/>
        <v/>
      </c>
      <c r="O27" s="233" t="str">
        <f t="shared" si="7"/>
        <v/>
      </c>
      <c r="P27" s="234" t="str">
        <f t="shared" si="7"/>
        <v/>
      </c>
      <c r="Q27" s="300">
        <f t="shared" si="3"/>
        <v>0</v>
      </c>
      <c r="R27" s="76"/>
      <c r="S27" s="258"/>
      <c r="T27" s="2"/>
      <c r="U27" s="259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08" t="str">
        <f>IF(G10="oui","Nombre d'heures II","")</f>
        <v/>
      </c>
      <c r="B28" s="267" t="str">
        <f>IF(OR(A28="Nombre d'heures Quali B",A28="Nombre d'heures II"),"h"," ")</f>
        <v xml:space="preserve"> </v>
      </c>
      <c r="C28" s="283"/>
      <c r="D28" s="283"/>
      <c r="E28" s="283"/>
      <c r="F28" s="283"/>
      <c r="G28" s="283"/>
      <c r="H28" s="282"/>
      <c r="I28" s="308" t="str">
        <f t="shared" si="0"/>
        <v/>
      </c>
      <c r="J28" s="267" t="str">
        <f>IF(OR(I28="Nombre d'heures Quali B",I28="Nombre d'heures II"),"h"," ")</f>
        <v xml:space="preserve"> </v>
      </c>
      <c r="K28" s="283"/>
      <c r="L28" s="283"/>
      <c r="M28" s="283"/>
      <c r="N28" s="299"/>
      <c r="O28" s="283"/>
      <c r="P28" s="282"/>
      <c r="Q28" s="300">
        <f t="shared" si="3"/>
        <v>0</v>
      </c>
      <c r="R28" s="78"/>
      <c r="S28" s="461">
        <f>IF(AND(AC6="oui",(G12="oui")),"ATTENTION: le salaire des proches ne doit pas réglé au contributin d'assistance AI",0)</f>
        <v>0</v>
      </c>
      <c r="T28" s="462"/>
      <c r="U28" s="463"/>
      <c r="V28" s="404"/>
      <c r="W28" s="78"/>
      <c r="X28" s="101"/>
      <c r="Y28" s="98"/>
    </row>
    <row r="29" spans="1:37" s="6" customFormat="1" x14ac:dyDescent="0.2">
      <c r="A29" s="308" t="str">
        <f>IF(G10="oui","Salaire horaire II","")</f>
        <v/>
      </c>
      <c r="B29" s="266" t="str">
        <f>IF(OR(A29="Salaire horaire Quali B",A29="Salaire horaire II"),"CHF"," ")</f>
        <v xml:space="preserve"> </v>
      </c>
      <c r="C29" s="233" t="str">
        <f t="shared" ref="C29:H29" si="8">IF($C$16="Salaire horaire",(IF(OR((DATEDIF($F$7,C21,"Y")&lt;20),(DATEDIF($F$7,C21,"Y")&gt;49)),$M$13/110.64%*(C28),$M$13/108.33%*(C28))),"")</f>
        <v/>
      </c>
      <c r="D29" s="233" t="str">
        <f t="shared" si="8"/>
        <v/>
      </c>
      <c r="E29" s="233" t="str">
        <f t="shared" si="8"/>
        <v/>
      </c>
      <c r="F29" s="233" t="str">
        <f t="shared" si="8"/>
        <v/>
      </c>
      <c r="G29" s="233" t="str">
        <f t="shared" si="8"/>
        <v/>
      </c>
      <c r="H29" s="234" t="str">
        <f t="shared" si="8"/>
        <v/>
      </c>
      <c r="I29" s="308" t="str">
        <f t="shared" si="0"/>
        <v/>
      </c>
      <c r="J29" s="266" t="str">
        <f>IF(OR(I29="Salaire horaire Quali B",I29="Salaire horaire II"),"CHF"," ")</f>
        <v xml:space="preserve"> </v>
      </c>
      <c r="K29" s="233" t="str">
        <f t="shared" ref="K29:P29" si="9">IF($C$16="Salaire horaire",(IF(OR((DATEDIF($F$7,K21,"Y")&lt;20),(DATEDIF($F$7,K21,"Y")&gt;49)),$M$13/110.64%*(K28),$M$13/108.33%*(K28))),"")</f>
        <v/>
      </c>
      <c r="L29" s="233" t="str">
        <f t="shared" si="9"/>
        <v/>
      </c>
      <c r="M29" s="233" t="str">
        <f t="shared" si="9"/>
        <v/>
      </c>
      <c r="N29" s="233" t="str">
        <f t="shared" si="9"/>
        <v/>
      </c>
      <c r="O29" s="233" t="str">
        <f t="shared" si="9"/>
        <v/>
      </c>
      <c r="P29" s="234" t="str">
        <f t="shared" si="9"/>
        <v/>
      </c>
      <c r="Q29" s="300">
        <f t="shared" si="3"/>
        <v>0</v>
      </c>
      <c r="R29" s="65"/>
      <c r="S29" s="461"/>
      <c r="T29" s="462"/>
      <c r="U29" s="463"/>
      <c r="V29" s="404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08" t="str">
        <f>IF($C$16="Salaire horaire","Supplément de vacances","")</f>
        <v/>
      </c>
      <c r="B30" s="266" t="str">
        <f>IF(A30="Supplément de vacances","CHF"," ")</f>
        <v xml:space="preserve"> </v>
      </c>
      <c r="C30" s="233">
        <f t="shared" ref="C30:H30" si="10">IF($C$16="Salaire horaire",(ROUND(IF(OR((DATEDIF($F$7,C$21,"Y")&lt;20),(DATEDIF($F$7,C$21,"Y")&gt;49)),(C$27+C$29)*10.64%,(C$27+C$29)*8.33%),2)),)</f>
        <v>0</v>
      </c>
      <c r="D30" s="233">
        <f t="shared" si="10"/>
        <v>0</v>
      </c>
      <c r="E30" s="233">
        <f t="shared" si="10"/>
        <v>0</v>
      </c>
      <c r="F30" s="233">
        <f t="shared" si="10"/>
        <v>0</v>
      </c>
      <c r="G30" s="233">
        <f t="shared" si="10"/>
        <v>0</v>
      </c>
      <c r="H30" s="234">
        <f t="shared" si="10"/>
        <v>0</v>
      </c>
      <c r="I30" s="308" t="str">
        <f t="shared" si="0"/>
        <v/>
      </c>
      <c r="J30" s="266" t="str">
        <f>IF(I30="Supplément de vacances","CHF"," ")</f>
        <v xml:space="preserve"> </v>
      </c>
      <c r="K30" s="233">
        <f t="shared" ref="K30:P30" si="11">IF($C$16="Salaire horaire",(ROUND(IF(OR((DATEDIF($F$7,K$21,"Y")&lt;20),(DATEDIF($F$7,K$21,"Y")&gt;49)),(K$27+K$29)*10.64%,(K$27+K$29)*8.33%),2)),)</f>
        <v>0</v>
      </c>
      <c r="L30" s="233">
        <f t="shared" si="11"/>
        <v>0</v>
      </c>
      <c r="M30" s="233">
        <f t="shared" si="11"/>
        <v>0</v>
      </c>
      <c r="N30" s="233">
        <f t="shared" si="11"/>
        <v>0</v>
      </c>
      <c r="O30" s="233">
        <f t="shared" si="11"/>
        <v>0</v>
      </c>
      <c r="P30" s="234">
        <f t="shared" si="11"/>
        <v>0</v>
      </c>
      <c r="Q30" s="300">
        <f t="shared" si="3"/>
        <v>0</v>
      </c>
      <c r="R30" s="65"/>
      <c r="S30" s="461"/>
      <c r="T30" s="462"/>
      <c r="U30" s="463"/>
      <c r="V30" s="404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09" t="s">
        <v>127</v>
      </c>
      <c r="B31" s="267" t="s">
        <v>128</v>
      </c>
      <c r="C31" s="412"/>
      <c r="D31" s="413"/>
      <c r="E31" s="413"/>
      <c r="F31" s="413"/>
      <c r="G31" s="413"/>
      <c r="H31" s="414"/>
      <c r="I31" s="309" t="str">
        <f t="shared" si="0"/>
        <v>Repas &amp; logement</v>
      </c>
      <c r="J31" s="267" t="s">
        <v>128</v>
      </c>
      <c r="K31" s="412"/>
      <c r="L31" s="412"/>
      <c r="M31" s="412"/>
      <c r="N31" s="412"/>
      <c r="O31" s="412"/>
      <c r="P31" s="414"/>
      <c r="Q31" s="83">
        <f t="shared" si="3"/>
        <v>0</v>
      </c>
      <c r="R31" s="65"/>
      <c r="S31" s="457">
        <f>IF(AND(M7+M12&gt;8,T11=0),"Remarque: à partir de 8 heures de travail effectives par semaine, l’employé doit avoir souscrit une assurance-accidents non professionnels!",0)</f>
        <v>0</v>
      </c>
      <c r="T31" s="458"/>
      <c r="U31" s="459"/>
      <c r="V31" s="403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09" t="s">
        <v>129</v>
      </c>
      <c r="B32" s="268" t="s">
        <v>128</v>
      </c>
      <c r="C32" s="412"/>
      <c r="D32" s="413"/>
      <c r="E32" s="413"/>
      <c r="F32" s="413"/>
      <c r="G32" s="413"/>
      <c r="H32" s="415"/>
      <c r="I32" s="309" t="str">
        <f t="shared" si="0"/>
        <v>Oblig. de verser le salaire (art. 324a CO) (soumis à l'AVS)</v>
      </c>
      <c r="J32" s="268" t="s">
        <v>128</v>
      </c>
      <c r="K32" s="413"/>
      <c r="L32" s="413"/>
      <c r="M32" s="413"/>
      <c r="N32" s="416"/>
      <c r="O32" s="413"/>
      <c r="P32" s="415"/>
      <c r="Q32" s="70">
        <f t="shared" si="3"/>
        <v>0</v>
      </c>
      <c r="R32" s="65"/>
      <c r="S32" s="457"/>
      <c r="T32" s="458"/>
      <c r="U32" s="459"/>
      <c r="V32" s="403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09" t="s">
        <v>130</v>
      </c>
      <c r="B33" s="268" t="s">
        <v>128</v>
      </c>
      <c r="C33" s="412"/>
      <c r="D33" s="413"/>
      <c r="E33" s="413"/>
      <c r="F33" s="413"/>
      <c r="G33" s="413"/>
      <c r="H33" s="415"/>
      <c r="I33" s="309" t="str">
        <f t="shared" si="0"/>
        <v>Oblig. de verser le salaire
(soumis à l'AVS)</v>
      </c>
      <c r="J33" s="268" t="s">
        <v>128</v>
      </c>
      <c r="K33" s="413"/>
      <c r="L33" s="413"/>
      <c r="M33" s="413"/>
      <c r="N33" s="416"/>
      <c r="O33" s="413"/>
      <c r="P33" s="415"/>
      <c r="Q33" s="70">
        <f t="shared" si="3"/>
        <v>0</v>
      </c>
      <c r="R33" s="65"/>
      <c r="S33" s="457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8"/>
      <c r="U33" s="459"/>
      <c r="V33" s="403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36" x14ac:dyDescent="0.2">
      <c r="A34" s="310" t="s">
        <v>131</v>
      </c>
      <c r="B34" s="269" t="s">
        <v>128</v>
      </c>
      <c r="C34" s="412"/>
      <c r="D34" s="413"/>
      <c r="E34" s="413"/>
      <c r="F34" s="413"/>
      <c r="G34" s="413"/>
      <c r="H34" s="415"/>
      <c r="I34" s="310" t="str">
        <f t="shared" si="0"/>
        <v>Allocation maternité / militaire (soumis à l'AVS)</v>
      </c>
      <c r="J34" s="269" t="s">
        <v>128</v>
      </c>
      <c r="K34" s="413"/>
      <c r="L34" s="413"/>
      <c r="M34" s="413"/>
      <c r="N34" s="416"/>
      <c r="O34" s="413"/>
      <c r="P34" s="415"/>
      <c r="Q34" s="70">
        <f t="shared" si="3"/>
        <v>0</v>
      </c>
      <c r="R34" s="57"/>
      <c r="S34" s="457"/>
      <c r="T34" s="458"/>
      <c r="U34" s="459"/>
      <c r="V34" s="403"/>
      <c r="W34" s="2">
        <f>IF(S33&gt;1,1,0)</f>
        <v>0</v>
      </c>
      <c r="X34" s="101"/>
      <c r="Y34" s="110">
        <f t="shared" ref="Y34:AD34" si="12">C21</f>
        <v>45292</v>
      </c>
      <c r="Z34" s="110">
        <f t="shared" si="12"/>
        <v>45323</v>
      </c>
      <c r="AA34" s="110">
        <f t="shared" si="12"/>
        <v>45352</v>
      </c>
      <c r="AB34" s="110">
        <f t="shared" si="12"/>
        <v>45383</v>
      </c>
      <c r="AC34" s="110">
        <f t="shared" si="12"/>
        <v>45413</v>
      </c>
      <c r="AD34" s="110">
        <f t="shared" si="12"/>
        <v>45444</v>
      </c>
      <c r="AE34" s="110">
        <f t="shared" ref="AE34:AJ34" si="13">K21</f>
        <v>45474</v>
      </c>
      <c r="AF34" s="110">
        <f t="shared" si="13"/>
        <v>45505</v>
      </c>
      <c r="AG34" s="110">
        <f t="shared" si="13"/>
        <v>45536</v>
      </c>
      <c r="AH34" s="110">
        <f t="shared" si="13"/>
        <v>45566</v>
      </c>
      <c r="AI34" s="110">
        <f t="shared" si="13"/>
        <v>45597</v>
      </c>
      <c r="AJ34" s="110">
        <f t="shared" si="13"/>
        <v>45627</v>
      </c>
    </row>
    <row r="35" spans="1:37" s="2" customFormat="1" ht="24" x14ac:dyDescent="0.2">
      <c r="A35" s="310" t="s">
        <v>132</v>
      </c>
      <c r="B35" s="269" t="s">
        <v>128</v>
      </c>
      <c r="C35" s="412"/>
      <c r="D35" s="413"/>
      <c r="E35" s="413"/>
      <c r="F35" s="413"/>
      <c r="G35" s="413"/>
      <c r="H35" s="415"/>
      <c r="I35" s="310" t="str">
        <f t="shared" si="0"/>
        <v>Indemnité d'assurance
(non soumis AVS)</v>
      </c>
      <c r="J35" s="269" t="s">
        <v>128</v>
      </c>
      <c r="K35" s="413"/>
      <c r="L35" s="413"/>
      <c r="M35" s="413"/>
      <c r="N35" s="416"/>
      <c r="O35" s="413"/>
      <c r="P35" s="415"/>
      <c r="Q35" s="70">
        <f t="shared" si="3"/>
        <v>0</v>
      </c>
      <c r="R35" s="57"/>
      <c r="S35" s="457"/>
      <c r="T35" s="458"/>
      <c r="U35" s="459"/>
      <c r="V35" s="403"/>
      <c r="W35" s="57"/>
      <c r="X35" s="101" t="s">
        <v>133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08" t="s">
        <v>134</v>
      </c>
      <c r="B36" s="267" t="s">
        <v>128</v>
      </c>
      <c r="C36" s="412"/>
      <c r="D36" s="413"/>
      <c r="E36" s="413"/>
      <c r="F36" s="413"/>
      <c r="G36" s="413"/>
      <c r="H36" s="415"/>
      <c r="I36" s="308" t="str">
        <f t="shared" si="0"/>
        <v>Allocations familiales</v>
      </c>
      <c r="J36" s="267" t="s">
        <v>128</v>
      </c>
      <c r="K36" s="413"/>
      <c r="L36" s="413"/>
      <c r="M36" s="413"/>
      <c r="N36" s="416"/>
      <c r="O36" s="413"/>
      <c r="P36" s="415"/>
      <c r="Q36" s="70">
        <f t="shared" si="3"/>
        <v>0</v>
      </c>
      <c r="R36" s="57"/>
      <c r="S36" s="457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8"/>
      <c r="U36" s="459"/>
      <c r="V36" s="403"/>
      <c r="W36" s="57"/>
      <c r="X36" s="105" t="s">
        <v>135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1" t="s">
        <v>136</v>
      </c>
      <c r="B37" s="270" t="s">
        <v>128</v>
      </c>
      <c r="C37" s="286">
        <f t="shared" ref="C37:H37" si="17">IF($C$16="Salaire horaire",SUM(C27,C29,C30,C31,C32,C33,C34,C35,C36),SUM(C22,C23,C30,C31,C32,C33,C34,C35,C36))</f>
        <v>0</v>
      </c>
      <c r="D37" s="286">
        <f t="shared" si="17"/>
        <v>0</v>
      </c>
      <c r="E37" s="286">
        <f t="shared" si="17"/>
        <v>0</v>
      </c>
      <c r="F37" s="286">
        <f t="shared" si="17"/>
        <v>0</v>
      </c>
      <c r="G37" s="286">
        <f t="shared" si="17"/>
        <v>0</v>
      </c>
      <c r="H37" s="238">
        <f t="shared" si="17"/>
        <v>0</v>
      </c>
      <c r="I37" s="311" t="str">
        <f t="shared" si="0"/>
        <v>Salaire brut</v>
      </c>
      <c r="J37" s="270" t="s">
        <v>128</v>
      </c>
      <c r="K37" s="286">
        <f t="shared" ref="K37:P37" si="18">IF($C$16="Salaire horaire",SUM(K27,K29,K30,K31,K32,K33,K34,K35,K36),SUM(K22,K23,K30,K31,K32,K33,K34,K35,K36))</f>
        <v>0</v>
      </c>
      <c r="L37" s="286">
        <f t="shared" si="18"/>
        <v>0</v>
      </c>
      <c r="M37" s="286">
        <f t="shared" si="18"/>
        <v>0</v>
      </c>
      <c r="N37" s="302">
        <f t="shared" si="18"/>
        <v>0</v>
      </c>
      <c r="O37" s="286">
        <f t="shared" si="18"/>
        <v>0</v>
      </c>
      <c r="P37" s="238">
        <f t="shared" si="18"/>
        <v>0</v>
      </c>
      <c r="Q37" s="238">
        <f t="shared" si="3"/>
        <v>0</v>
      </c>
      <c r="R37" s="57"/>
      <c r="S37" s="457"/>
      <c r="T37" s="458"/>
      <c r="U37" s="459"/>
      <c r="V37" s="403"/>
      <c r="W37" s="2">
        <f>IF(S36&gt;1,5,0)</f>
        <v>0</v>
      </c>
      <c r="X37" s="101" t="s">
        <v>137</v>
      </c>
      <c r="Y37" s="163">
        <f t="shared" ref="Y37:AD37" si="19">IF(Y35=0,0,IF($C$16="Salaire horaire",SUM(C27,C29,C30,C31,C32,C33,C34),SUM(C22,C23,C30,C31,C32,C33,C34)))</f>
        <v>0</v>
      </c>
      <c r="Z37" s="163">
        <f t="shared" si="19"/>
        <v>0</v>
      </c>
      <c r="AA37" s="163">
        <f t="shared" si="19"/>
        <v>0</v>
      </c>
      <c r="AB37" s="163">
        <f t="shared" si="19"/>
        <v>0</v>
      </c>
      <c r="AC37" s="163">
        <f t="shared" si="19"/>
        <v>0</v>
      </c>
      <c r="AD37" s="163">
        <f t="shared" si="19"/>
        <v>0</v>
      </c>
      <c r="AE37" s="163">
        <f t="shared" ref="AE37:AJ37" si="20">IF(AE35=0,0,IF($C$16="Salaire horaire",SUM(K27,K29,K30,K31,K32,K33,K34),SUM(K22,K23,K30,K31,K32,K33,K34)))</f>
        <v>0</v>
      </c>
      <c r="AF37" s="163">
        <f t="shared" si="20"/>
        <v>0</v>
      </c>
      <c r="AG37" s="163">
        <f t="shared" si="20"/>
        <v>0</v>
      </c>
      <c r="AH37" s="163">
        <f t="shared" si="20"/>
        <v>0</v>
      </c>
      <c r="AI37" s="163">
        <f t="shared" si="20"/>
        <v>0</v>
      </c>
      <c r="AJ37" s="163">
        <f t="shared" si="20"/>
        <v>0</v>
      </c>
    </row>
    <row r="38" spans="1:37" s="2" customFormat="1" ht="12" x14ac:dyDescent="0.2">
      <c r="A38" s="308" t="s">
        <v>138</v>
      </c>
      <c r="B38" s="271" t="s">
        <v>128</v>
      </c>
      <c r="C38" s="430">
        <f t="shared" ref="C38:H38" si="21">Y42</f>
        <v>0</v>
      </c>
      <c r="D38" s="430">
        <f t="shared" si="21"/>
        <v>0</v>
      </c>
      <c r="E38" s="430">
        <f t="shared" si="21"/>
        <v>0</v>
      </c>
      <c r="F38" s="430">
        <f t="shared" si="21"/>
        <v>0</v>
      </c>
      <c r="G38" s="430">
        <f t="shared" si="21"/>
        <v>0</v>
      </c>
      <c r="H38" s="431">
        <f t="shared" si="21"/>
        <v>0</v>
      </c>
      <c r="I38" s="308" t="str">
        <f t="shared" si="0"/>
        <v>Franchise rentier AVS</v>
      </c>
      <c r="J38" s="271" t="s">
        <v>128</v>
      </c>
      <c r="K38" s="430">
        <f t="shared" ref="K38:P38" si="22">AE42</f>
        <v>0</v>
      </c>
      <c r="L38" s="430">
        <f t="shared" si="22"/>
        <v>0</v>
      </c>
      <c r="M38" s="430">
        <f t="shared" si="22"/>
        <v>0</v>
      </c>
      <c r="N38" s="430">
        <f t="shared" si="22"/>
        <v>0</v>
      </c>
      <c r="O38" s="430">
        <f t="shared" si="22"/>
        <v>0</v>
      </c>
      <c r="P38" s="432">
        <f t="shared" si="22"/>
        <v>0</v>
      </c>
      <c r="Q38" s="303">
        <f>SUM(C38:H38)+SUM(K38:P38)</f>
        <v>0</v>
      </c>
      <c r="R38" s="57"/>
      <c r="S38" s="457"/>
      <c r="T38" s="458"/>
      <c r="U38" s="459"/>
      <c r="V38" s="403"/>
      <c r="W38" s="57"/>
      <c r="X38" s="2" t="s">
        <v>139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1" t="s">
        <v>140</v>
      </c>
      <c r="B39" s="270" t="s">
        <v>128</v>
      </c>
      <c r="C39" s="286">
        <f t="shared" ref="C39:H39" si="24">C37-C36-C35-C38</f>
        <v>0</v>
      </c>
      <c r="D39" s="286">
        <f t="shared" si="24"/>
        <v>0</v>
      </c>
      <c r="E39" s="286">
        <f t="shared" si="24"/>
        <v>0</v>
      </c>
      <c r="F39" s="286">
        <f t="shared" si="24"/>
        <v>0</v>
      </c>
      <c r="G39" s="286">
        <f t="shared" si="24"/>
        <v>0</v>
      </c>
      <c r="H39" s="238">
        <f t="shared" si="24"/>
        <v>0</v>
      </c>
      <c r="I39" s="311" t="str">
        <f t="shared" si="0"/>
        <v>AVS montant brut</v>
      </c>
      <c r="J39" s="270" t="s">
        <v>128</v>
      </c>
      <c r="K39" s="286">
        <f t="shared" ref="K39:P39" si="25">K37-K36-K35-K38</f>
        <v>0</v>
      </c>
      <c r="L39" s="286">
        <f t="shared" si="25"/>
        <v>0</v>
      </c>
      <c r="M39" s="286">
        <f t="shared" si="25"/>
        <v>0</v>
      </c>
      <c r="N39" s="302">
        <f t="shared" si="25"/>
        <v>0</v>
      </c>
      <c r="O39" s="286">
        <f t="shared" si="25"/>
        <v>0</v>
      </c>
      <c r="P39" s="238">
        <f t="shared" si="25"/>
        <v>0</v>
      </c>
      <c r="Q39" s="238">
        <f>ROUND((SUM(C39:H39)+SUM(K39:P39))*20,0)/20</f>
        <v>0</v>
      </c>
      <c r="R39" s="79"/>
      <c r="S39" s="457"/>
      <c r="T39" s="458"/>
      <c r="U39" s="459"/>
      <c r="V39" s="403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08" t="str">
        <f>CONCATENATE("AVS/AI/APG ",T8*100,"%")</f>
        <v>AVS/AI/APG 0%</v>
      </c>
      <c r="B40" s="272" t="s">
        <v>128</v>
      </c>
      <c r="C40" s="230">
        <f t="shared" ref="C40:H40" si="26">C$39*-$T$8</f>
        <v>0</v>
      </c>
      <c r="D40" s="230">
        <f t="shared" si="26"/>
        <v>0</v>
      </c>
      <c r="E40" s="230">
        <f t="shared" si="26"/>
        <v>0</v>
      </c>
      <c r="F40" s="230">
        <f t="shared" si="26"/>
        <v>0</v>
      </c>
      <c r="G40" s="230">
        <f t="shared" si="26"/>
        <v>0</v>
      </c>
      <c r="H40" s="231">
        <f t="shared" si="26"/>
        <v>0</v>
      </c>
      <c r="I40" s="322" t="str">
        <f t="shared" si="0"/>
        <v>AVS/AI/APG 0%</v>
      </c>
      <c r="J40" s="272" t="s">
        <v>128</v>
      </c>
      <c r="K40" s="230">
        <f t="shared" ref="K40:P40" si="27">K$39*-$T$8</f>
        <v>0</v>
      </c>
      <c r="L40" s="230">
        <f t="shared" si="27"/>
        <v>0</v>
      </c>
      <c r="M40" s="230">
        <f t="shared" si="27"/>
        <v>0</v>
      </c>
      <c r="N40" s="232">
        <f t="shared" si="27"/>
        <v>0</v>
      </c>
      <c r="O40" s="230">
        <f t="shared" si="27"/>
        <v>0</v>
      </c>
      <c r="P40" s="231">
        <f t="shared" si="27"/>
        <v>0</v>
      </c>
      <c r="Q40" s="235">
        <f t="shared" ref="Q40:Q48" si="28">ROUND((SUM(C40:H40)+SUM(K40:P40))*20,0)/20</f>
        <v>0</v>
      </c>
      <c r="R40" s="65"/>
      <c r="S40" s="474"/>
      <c r="T40" s="475"/>
      <c r="U40" s="476"/>
      <c r="V40" s="403"/>
      <c r="W40" s="65"/>
      <c r="X40" s="2" t="s">
        <v>141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08" t="str">
        <f>CONCATENATE("AC ",T9*100,"%")</f>
        <v>AC 0%</v>
      </c>
      <c r="B41" s="267" t="s">
        <v>128</v>
      </c>
      <c r="C41" s="233">
        <f t="shared" ref="C41:H41" si="30">C$39*(IF(DATEDIF($F$7,$D$1,"Y")&lt;18,0,IF(DATEDIF($F$7,C21,"Y")&gt;(IF($C$10="féminin",63,64)),0,-1.1%)))</f>
        <v>0</v>
      </c>
      <c r="D41" s="233">
        <f t="shared" si="30"/>
        <v>0</v>
      </c>
      <c r="E41" s="233">
        <f t="shared" si="30"/>
        <v>0</v>
      </c>
      <c r="F41" s="233">
        <f t="shared" si="30"/>
        <v>0</v>
      </c>
      <c r="G41" s="233">
        <f t="shared" si="30"/>
        <v>0</v>
      </c>
      <c r="H41" s="234">
        <f t="shared" si="30"/>
        <v>0</v>
      </c>
      <c r="I41" s="322" t="str">
        <f t="shared" si="0"/>
        <v>AC 0%</v>
      </c>
      <c r="J41" s="267" t="s">
        <v>128</v>
      </c>
      <c r="K41" s="233">
        <f t="shared" ref="K41:P41" si="31">K$39*(IF(DATEDIF($F$7,$D$1,"Y")&lt;18,0,IF(DATEDIF($F$7,K21,"Y")&gt;(IF($C$10="féminin",63,64)),0,-1.1%)))</f>
        <v>0</v>
      </c>
      <c r="L41" s="233">
        <f t="shared" si="31"/>
        <v>0</v>
      </c>
      <c r="M41" s="233">
        <f t="shared" si="31"/>
        <v>0</v>
      </c>
      <c r="N41" s="232">
        <f t="shared" si="31"/>
        <v>0</v>
      </c>
      <c r="O41" s="233">
        <f t="shared" si="31"/>
        <v>0</v>
      </c>
      <c r="P41" s="234">
        <f t="shared" si="31"/>
        <v>0</v>
      </c>
      <c r="Q41" s="236">
        <f t="shared" si="28"/>
        <v>0</v>
      </c>
      <c r="R41" s="79"/>
      <c r="S41" s="472"/>
      <c r="T41" s="472"/>
      <c r="U41" s="472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08" t="str">
        <f>IF(T11&lt;0.01,"ANP",(CONCATENATE("ANP ",T11*100,"%")))</f>
        <v>ANP</v>
      </c>
      <c r="B42" s="267" t="s">
        <v>128</v>
      </c>
      <c r="C42" s="412">
        <f t="shared" ref="C42:H42" si="32">(C$37-C$34-C$35-C$36)*-$T$11</f>
        <v>0</v>
      </c>
      <c r="D42" s="412">
        <f t="shared" si="32"/>
        <v>0</v>
      </c>
      <c r="E42" s="412">
        <f t="shared" si="32"/>
        <v>0</v>
      </c>
      <c r="F42" s="412">
        <f t="shared" si="32"/>
        <v>0</v>
      </c>
      <c r="G42" s="412">
        <f t="shared" si="32"/>
        <v>0</v>
      </c>
      <c r="H42" s="414">
        <f t="shared" si="32"/>
        <v>0</v>
      </c>
      <c r="I42" s="322" t="str">
        <f t="shared" si="0"/>
        <v>ANP</v>
      </c>
      <c r="J42" s="267" t="s">
        <v>128</v>
      </c>
      <c r="K42" s="412">
        <f t="shared" ref="K42:P42" si="33">(K$37-K$34-K$35-K$36)*-$T$11</f>
        <v>0</v>
      </c>
      <c r="L42" s="412">
        <f t="shared" si="33"/>
        <v>0</v>
      </c>
      <c r="M42" s="412">
        <f t="shared" si="33"/>
        <v>0</v>
      </c>
      <c r="N42" s="416">
        <f t="shared" si="33"/>
        <v>0</v>
      </c>
      <c r="O42" s="412">
        <f t="shared" si="33"/>
        <v>0</v>
      </c>
      <c r="P42" s="414">
        <f t="shared" si="33"/>
        <v>0</v>
      </c>
      <c r="Q42" s="236">
        <f t="shared" si="28"/>
        <v>0</v>
      </c>
      <c r="R42" s="65"/>
      <c r="S42" s="473"/>
      <c r="T42" s="473"/>
      <c r="U42" s="473"/>
      <c r="V42" s="79"/>
      <c r="W42" s="2">
        <f>IF(S41&gt;1,1,0)</f>
        <v>0</v>
      </c>
      <c r="X42" s="2" t="s">
        <v>142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08" t="str">
        <f>IF(T13&lt;0.0000001,"IJM",(CONCATENATE("IJM ",T13*100,"%")))</f>
        <v>IJM</v>
      </c>
      <c r="B43" s="267" t="s">
        <v>128</v>
      </c>
      <c r="C43" s="412">
        <f t="shared" ref="C43:H43" si="35">(C$37-C$34-C$35-C$36)*-$T$13</f>
        <v>0</v>
      </c>
      <c r="D43" s="412">
        <f t="shared" si="35"/>
        <v>0</v>
      </c>
      <c r="E43" s="412">
        <f t="shared" si="35"/>
        <v>0</v>
      </c>
      <c r="F43" s="412">
        <f t="shared" si="35"/>
        <v>0</v>
      </c>
      <c r="G43" s="412">
        <f t="shared" si="35"/>
        <v>0</v>
      </c>
      <c r="H43" s="414">
        <f t="shared" si="35"/>
        <v>0</v>
      </c>
      <c r="I43" s="322" t="str">
        <f t="shared" si="0"/>
        <v>IJM</v>
      </c>
      <c r="J43" s="267" t="s">
        <v>128</v>
      </c>
      <c r="K43" s="412">
        <f t="shared" ref="K43:P43" si="36">(K$37-K$34-K$35-K$36)*-$T$13</f>
        <v>0</v>
      </c>
      <c r="L43" s="412">
        <f t="shared" si="36"/>
        <v>0</v>
      </c>
      <c r="M43" s="412">
        <f t="shared" si="36"/>
        <v>0</v>
      </c>
      <c r="N43" s="416">
        <f t="shared" si="36"/>
        <v>0</v>
      </c>
      <c r="O43" s="412">
        <f t="shared" si="36"/>
        <v>0</v>
      </c>
      <c r="P43" s="414">
        <f t="shared" si="36"/>
        <v>0</v>
      </c>
      <c r="Q43" s="236">
        <f t="shared" si="28"/>
        <v>0</v>
      </c>
      <c r="R43" s="65"/>
      <c r="S43" s="473"/>
      <c r="T43" s="473"/>
      <c r="U43" s="473"/>
      <c r="V43" s="65"/>
      <c r="W43" s="65"/>
      <c r="X43" s="101" t="s">
        <v>143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1">
        <f>MROUND(SUM(Y43:AJ43),0.05)</f>
        <v>0</v>
      </c>
    </row>
    <row r="44" spans="1:37" s="2" customFormat="1" ht="15" customHeight="1" x14ac:dyDescent="0.2">
      <c r="A44" s="308" t="str">
        <f>IF(T16&gt;0.01%,(CONCATENATE("LPP ",T16*100,"%")),IF(T15&lt;0.01,"LPP",(CONCATENATE("LPP ","CHF ",T15))))</f>
        <v>LPP</v>
      </c>
      <c r="B44" s="267" t="s">
        <v>128</v>
      </c>
      <c r="C44" s="412">
        <f t="shared" ref="C44:H44" si="39">IF(C39&lt;1,0,(IF(DATEDIF($F$7,$D$1,"Y")&lt;19,0,(IF(DATEDIF($F$7,C21,"Y")&gt;(IF($C$10="féminin",63,64)),0,IF($T$16&gt;0.1%,-$T$16*C39,-$T$15))))))</f>
        <v>0</v>
      </c>
      <c r="D44" s="412">
        <f t="shared" si="39"/>
        <v>0</v>
      </c>
      <c r="E44" s="412">
        <f t="shared" si="39"/>
        <v>0</v>
      </c>
      <c r="F44" s="412">
        <f t="shared" si="39"/>
        <v>0</v>
      </c>
      <c r="G44" s="412">
        <f t="shared" si="39"/>
        <v>0</v>
      </c>
      <c r="H44" s="414">
        <f t="shared" si="39"/>
        <v>0</v>
      </c>
      <c r="I44" s="322" t="str">
        <f t="shared" si="0"/>
        <v>LPP</v>
      </c>
      <c r="J44" s="267" t="s">
        <v>128</v>
      </c>
      <c r="K44" s="412">
        <f t="shared" ref="K44:P44" si="40">IF(K39&lt;1,0,(IF(DATEDIF($F$7,$D$1,"Y")&lt;19,0,(IF(DATEDIF($F$7,K21,"Y")&gt;(IF($C$10="féminin",63,64)),0,IF($T$16&gt;0.1%,-$T$16*K39,-$T$15))))))</f>
        <v>0</v>
      </c>
      <c r="L44" s="412">
        <f t="shared" si="40"/>
        <v>0</v>
      </c>
      <c r="M44" s="412">
        <f t="shared" si="40"/>
        <v>0</v>
      </c>
      <c r="N44" s="416">
        <f t="shared" si="40"/>
        <v>0</v>
      </c>
      <c r="O44" s="412">
        <f t="shared" si="40"/>
        <v>0</v>
      </c>
      <c r="P44" s="414">
        <f t="shared" si="40"/>
        <v>0</v>
      </c>
      <c r="Q44" s="236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08" t="str">
        <f>IF(G13="à choisir","",IF(OR(Y9&lt;5%,G13="ordinaire",)," ",(CONCATENATE("Impôt selon LTN ",Y9*100,"%"))))</f>
        <v/>
      </c>
      <c r="B45" s="266" t="str">
        <f>IF(A45="Impôt selon LTN 5%","CHF"," ")</f>
        <v xml:space="preserve"> </v>
      </c>
      <c r="C45" s="412">
        <f t="shared" ref="C45:H45" si="41">IF(C39+C38=0,0,IF(DATEDIF($F$7,C21,"Y")&lt;(IF($C$10="féminin",64,65)),C39*-$Y$9,IF(AND(C38&gt;1),(C39+C38)*-$Y$9,C39*-$Y$9)))</f>
        <v>0</v>
      </c>
      <c r="D45" s="412">
        <f t="shared" si="41"/>
        <v>0</v>
      </c>
      <c r="E45" s="412">
        <f t="shared" si="41"/>
        <v>0</v>
      </c>
      <c r="F45" s="412">
        <f t="shared" si="41"/>
        <v>0</v>
      </c>
      <c r="G45" s="412">
        <f t="shared" si="41"/>
        <v>0</v>
      </c>
      <c r="H45" s="414">
        <f t="shared" si="41"/>
        <v>0</v>
      </c>
      <c r="I45" s="308" t="str">
        <f t="shared" si="0"/>
        <v/>
      </c>
      <c r="J45" s="266" t="str">
        <f>IF(I45="Impôt selon LTN 5%","CHF"," ")</f>
        <v xml:space="preserve"> </v>
      </c>
      <c r="K45" s="412">
        <f t="shared" ref="K45:P45" si="42">IF(K39+K38=0,0,IF(DATEDIF($F$7,K21,"Y")&lt;(IF($C$10="féminin",64,65)),K39*-$Y$9,IF(AND(K38&gt;1),(K39+K38)*-$Y$9,K39*-$Y$9)))</f>
        <v>0</v>
      </c>
      <c r="L45" s="412">
        <f t="shared" si="42"/>
        <v>0</v>
      </c>
      <c r="M45" s="412">
        <f t="shared" si="42"/>
        <v>0</v>
      </c>
      <c r="N45" s="412">
        <f t="shared" si="42"/>
        <v>0</v>
      </c>
      <c r="O45" s="412">
        <f t="shared" si="42"/>
        <v>0</v>
      </c>
      <c r="P45" s="414">
        <f t="shared" si="42"/>
        <v>0</v>
      </c>
      <c r="Q45" s="300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08" t="str">
        <f>IF(G13="ordinaire","Impôt à la source","")</f>
        <v/>
      </c>
      <c r="B46" s="266" t="str">
        <f>IF(A46="QST","CHF"," ")</f>
        <v xml:space="preserve"> </v>
      </c>
      <c r="C46" s="412"/>
      <c r="D46" s="412"/>
      <c r="E46" s="412"/>
      <c r="F46" s="412"/>
      <c r="G46" s="412"/>
      <c r="H46" s="415"/>
      <c r="I46" s="322" t="str">
        <f t="shared" si="0"/>
        <v/>
      </c>
      <c r="J46" s="266" t="str">
        <f>IF(I46="QST","CHF"," ")</f>
        <v xml:space="preserve"> </v>
      </c>
      <c r="K46" s="413"/>
      <c r="L46" s="413"/>
      <c r="M46" s="413"/>
      <c r="N46" s="416"/>
      <c r="O46" s="413"/>
      <c r="P46" s="415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08" t="s">
        <v>144</v>
      </c>
      <c r="B47" s="267" t="s">
        <v>128</v>
      </c>
      <c r="C47" s="412"/>
      <c r="D47" s="413"/>
      <c r="E47" s="413"/>
      <c r="F47" s="413"/>
      <c r="G47" s="413"/>
      <c r="H47" s="415"/>
      <c r="I47" s="322" t="str">
        <f t="shared" si="0"/>
        <v>Frais effectifs</v>
      </c>
      <c r="J47" s="267" t="s">
        <v>128</v>
      </c>
      <c r="K47" s="413"/>
      <c r="L47" s="413"/>
      <c r="M47" s="413"/>
      <c r="N47" s="416"/>
      <c r="O47" s="413"/>
      <c r="P47" s="415"/>
      <c r="Q47" s="70">
        <f t="shared" si="28"/>
        <v>0</v>
      </c>
      <c r="R47" s="165"/>
      <c r="S47" s="65"/>
      <c r="T47" s="65"/>
      <c r="U47" s="65"/>
      <c r="V47" s="165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2" t="s">
        <v>127</v>
      </c>
      <c r="B48" s="271" t="s">
        <v>128</v>
      </c>
      <c r="C48" s="412">
        <f>-C31</f>
        <v>0</v>
      </c>
      <c r="D48" s="413">
        <f t="shared" ref="D48:H48" si="43">-D31</f>
        <v>0</v>
      </c>
      <c r="E48" s="413">
        <f t="shared" si="43"/>
        <v>0</v>
      </c>
      <c r="F48" s="413">
        <f t="shared" si="43"/>
        <v>0</v>
      </c>
      <c r="G48" s="413">
        <f t="shared" si="43"/>
        <v>0</v>
      </c>
      <c r="H48" s="415">
        <f t="shared" si="43"/>
        <v>0</v>
      </c>
      <c r="I48" s="323" t="str">
        <f t="shared" si="0"/>
        <v>Repas &amp; logement</v>
      </c>
      <c r="J48" s="271" t="s">
        <v>128</v>
      </c>
      <c r="K48" s="413">
        <f t="shared" ref="K48:P48" si="44">-K31</f>
        <v>0</v>
      </c>
      <c r="L48" s="413">
        <f t="shared" si="44"/>
        <v>0</v>
      </c>
      <c r="M48" s="413">
        <f t="shared" si="44"/>
        <v>0</v>
      </c>
      <c r="N48" s="416">
        <f t="shared" si="44"/>
        <v>0</v>
      </c>
      <c r="O48" s="413">
        <f t="shared" si="44"/>
        <v>0</v>
      </c>
      <c r="P48" s="415">
        <f t="shared" si="44"/>
        <v>0</v>
      </c>
      <c r="Q48" s="237">
        <f t="shared" si="28"/>
        <v>0</v>
      </c>
      <c r="R48" s="57"/>
      <c r="S48" s="165"/>
      <c r="T48" s="165"/>
      <c r="U48" s="165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29" t="s">
        <v>145</v>
      </c>
      <c r="B49" s="330" t="s">
        <v>128</v>
      </c>
      <c r="C49" s="325">
        <f>MROUND(C37+(SUM(C40:C46)+C47+C48),0.05)</f>
        <v>0</v>
      </c>
      <c r="D49" s="325">
        <f t="shared" ref="D49:H49" si="45">MROUND(D37+(SUM(D40:D46)+D47+D48),0.05)</f>
        <v>0</v>
      </c>
      <c r="E49" s="325">
        <f t="shared" si="45"/>
        <v>0</v>
      </c>
      <c r="F49" s="325">
        <f t="shared" si="45"/>
        <v>0</v>
      </c>
      <c r="G49" s="325">
        <f t="shared" si="45"/>
        <v>0</v>
      </c>
      <c r="H49" s="327">
        <f t="shared" si="45"/>
        <v>0</v>
      </c>
      <c r="I49" s="329" t="str">
        <f t="shared" si="0"/>
        <v>Salaire net</v>
      </c>
      <c r="J49" s="330" t="s">
        <v>128</v>
      </c>
      <c r="K49" s="325">
        <f t="shared" ref="K49:P49" si="46">MROUND(K37+(SUM(K40:K46)+K47+K48),0.05)</f>
        <v>0</v>
      </c>
      <c r="L49" s="325">
        <f t="shared" si="46"/>
        <v>0</v>
      </c>
      <c r="M49" s="325">
        <f t="shared" si="46"/>
        <v>0</v>
      </c>
      <c r="N49" s="325">
        <f t="shared" si="46"/>
        <v>0</v>
      </c>
      <c r="O49" s="325">
        <f t="shared" si="46"/>
        <v>0</v>
      </c>
      <c r="P49" s="327">
        <f t="shared" si="46"/>
        <v>0</v>
      </c>
      <c r="Q49" s="238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1" t="s">
        <v>146</v>
      </c>
      <c r="B50" s="324" t="s">
        <v>128</v>
      </c>
      <c r="C50" s="412"/>
      <c r="D50" s="412"/>
      <c r="E50" s="412"/>
      <c r="F50" s="412"/>
      <c r="G50" s="412"/>
      <c r="H50" s="414"/>
      <c r="I50" s="331" t="str">
        <f t="shared" si="0"/>
        <v>Salaire net payé</v>
      </c>
      <c r="J50" s="324" t="s">
        <v>128</v>
      </c>
      <c r="K50" s="412"/>
      <c r="L50" s="412"/>
      <c r="M50" s="412"/>
      <c r="N50" s="412"/>
      <c r="O50" s="412"/>
      <c r="P50" s="414"/>
      <c r="Q50" s="305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2" t="s">
        <v>147</v>
      </c>
      <c r="B51" s="333" t="s">
        <v>128</v>
      </c>
      <c r="C51" s="326">
        <f>IF(C50=0,0,C50-C49)</f>
        <v>0</v>
      </c>
      <c r="D51" s="326">
        <f t="shared" ref="D51:H51" si="47">IF(D50=0,0,D50-D49)</f>
        <v>0</v>
      </c>
      <c r="E51" s="326">
        <f t="shared" si="47"/>
        <v>0</v>
      </c>
      <c r="F51" s="326">
        <f t="shared" si="47"/>
        <v>0</v>
      </c>
      <c r="G51" s="326">
        <f t="shared" si="47"/>
        <v>0</v>
      </c>
      <c r="H51" s="328">
        <f t="shared" si="47"/>
        <v>0</v>
      </c>
      <c r="I51" s="332" t="str">
        <f t="shared" si="0"/>
        <v>Différence</v>
      </c>
      <c r="J51" s="333" t="s">
        <v>128</v>
      </c>
      <c r="K51" s="326">
        <f t="shared" ref="K51:P51" si="48">IF(K50=0,0,K50-K49)</f>
        <v>0</v>
      </c>
      <c r="L51" s="326">
        <f t="shared" si="48"/>
        <v>0</v>
      </c>
      <c r="M51" s="326">
        <f t="shared" si="48"/>
        <v>0</v>
      </c>
      <c r="N51" s="326">
        <f t="shared" si="48"/>
        <v>0</v>
      </c>
      <c r="O51" s="326">
        <f t="shared" si="48"/>
        <v>0</v>
      </c>
      <c r="P51" s="328">
        <f t="shared" si="48"/>
        <v>0</v>
      </c>
      <c r="Q51" s="305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148</v>
      </c>
      <c r="B52" s="321"/>
      <c r="C52" s="448"/>
      <c r="D52" s="448"/>
      <c r="E52" s="448"/>
      <c r="F52" s="448"/>
      <c r="G52" s="448"/>
      <c r="H52" s="446"/>
      <c r="I52" s="71" t="str">
        <f t="shared" si="0"/>
        <v>Remarques</v>
      </c>
      <c r="J52" s="321"/>
      <c r="K52" s="448"/>
      <c r="L52" s="448"/>
      <c r="M52" s="448"/>
      <c r="N52" s="448"/>
      <c r="O52" s="450"/>
      <c r="P52" s="446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3"/>
      <c r="B53" s="273"/>
      <c r="C53" s="449"/>
      <c r="D53" s="449"/>
      <c r="E53" s="449"/>
      <c r="F53" s="449"/>
      <c r="G53" s="449"/>
      <c r="H53" s="447"/>
      <c r="I53" s="313"/>
      <c r="J53" s="273"/>
      <c r="K53" s="449"/>
      <c r="L53" s="449"/>
      <c r="M53" s="449"/>
      <c r="N53" s="449"/>
      <c r="O53" s="451"/>
      <c r="P53" s="447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4" t="s">
        <v>149</v>
      </c>
      <c r="B55" s="274"/>
      <c r="C55" s="85">
        <f t="shared" ref="C55:H55" si="50">C21</f>
        <v>45292</v>
      </c>
      <c r="D55" s="86">
        <f t="shared" si="50"/>
        <v>45323</v>
      </c>
      <c r="E55" s="86">
        <f t="shared" si="50"/>
        <v>45352</v>
      </c>
      <c r="F55" s="86">
        <f t="shared" si="50"/>
        <v>45383</v>
      </c>
      <c r="G55" s="86">
        <f t="shared" si="50"/>
        <v>45413</v>
      </c>
      <c r="H55" s="87">
        <f t="shared" si="50"/>
        <v>45444</v>
      </c>
      <c r="I55" s="314" t="str">
        <f>A55</f>
        <v>Données pour AssistMe:</v>
      </c>
      <c r="J55" s="274"/>
      <c r="K55" s="86">
        <f t="shared" ref="K55:P55" si="51">K21</f>
        <v>45474</v>
      </c>
      <c r="L55" s="86">
        <f t="shared" si="51"/>
        <v>45505</v>
      </c>
      <c r="M55" s="86">
        <f t="shared" si="51"/>
        <v>45536</v>
      </c>
      <c r="N55" s="88">
        <f t="shared" si="51"/>
        <v>45566</v>
      </c>
      <c r="O55" s="86">
        <f t="shared" si="51"/>
        <v>45597</v>
      </c>
      <c r="P55" s="87">
        <f t="shared" si="51"/>
        <v>45627</v>
      </c>
      <c r="Q55" s="224" t="s">
        <v>126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5" t="s">
        <v>150</v>
      </c>
      <c r="B56" s="275" t="s">
        <v>151</v>
      </c>
      <c r="C56" s="402" t="str">
        <f t="shared" ref="C56:H56" si="52">IF($C$16="Salaire horaire",IF($M$8="","",(C25*$P$10)+(C24*$P$7)+C26+C28+(C32+C33)/(IF($M$13&gt;1,((($M$8+$M$13)/2)),$M$8))),"Salaire mensuel")</f>
        <v>Salaire mensuel</v>
      </c>
      <c r="D56" s="402" t="str">
        <f t="shared" si="52"/>
        <v>Salaire mensuel</v>
      </c>
      <c r="E56" s="402" t="str">
        <f t="shared" si="52"/>
        <v>Salaire mensuel</v>
      </c>
      <c r="F56" s="402" t="str">
        <f t="shared" si="52"/>
        <v>Salaire mensuel</v>
      </c>
      <c r="G56" s="402" t="str">
        <f t="shared" si="52"/>
        <v>Salaire mensuel</v>
      </c>
      <c r="H56" s="287" t="str">
        <f t="shared" si="52"/>
        <v>Salaire mensuel</v>
      </c>
      <c r="I56" s="316" t="str">
        <f>A56</f>
        <v>Nombre d'heures</v>
      </c>
      <c r="J56" s="275" t="s">
        <v>151</v>
      </c>
      <c r="K56" s="402" t="str">
        <f t="shared" ref="K56:P56" si="53">IF($C$16="Salaire horaire",IF($M$8="","",(K25*$P$10)+(K24*$P$7)+K26+K28+(K32+K33)/(IF($M$13&gt;1,((($M$8+$M$13)/2)),$M$8))),"Salaire mensuel")</f>
        <v>Salaire mensuel</v>
      </c>
      <c r="L56" s="402" t="str">
        <f t="shared" si="53"/>
        <v>Salaire mensuel</v>
      </c>
      <c r="M56" s="402" t="str">
        <f t="shared" si="53"/>
        <v>Salaire mensuel</v>
      </c>
      <c r="N56" s="402" t="str">
        <f t="shared" si="53"/>
        <v>Salaire mensuel</v>
      </c>
      <c r="O56" s="402" t="str">
        <f t="shared" si="53"/>
        <v>Salaire mensuel</v>
      </c>
      <c r="P56" s="287" t="str">
        <f t="shared" si="53"/>
        <v>Salaire mensuel</v>
      </c>
      <c r="Q56" s="229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16" t="s">
        <v>145</v>
      </c>
      <c r="B57" s="276" t="s">
        <v>128</v>
      </c>
      <c r="C57" s="288">
        <f>C49-C48-C47-C46-C36-C35-C34-C31</f>
        <v>0</v>
      </c>
      <c r="D57" s="288">
        <f t="shared" ref="D57:H57" si="54">D49-D48-D47-D46-D36-D35-D34-D31</f>
        <v>0</v>
      </c>
      <c r="E57" s="288">
        <f t="shared" si="54"/>
        <v>0</v>
      </c>
      <c r="F57" s="288">
        <f t="shared" si="54"/>
        <v>0</v>
      </c>
      <c r="G57" s="288">
        <f t="shared" si="54"/>
        <v>0</v>
      </c>
      <c r="H57" s="287">
        <f t="shared" si="54"/>
        <v>0</v>
      </c>
      <c r="I57" s="316" t="str">
        <f>A57</f>
        <v>Salaire net</v>
      </c>
      <c r="J57" s="276" t="s">
        <v>128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297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17" t="s">
        <v>152</v>
      </c>
      <c r="B58" s="277" t="s">
        <v>128</v>
      </c>
      <c r="C58" s="289">
        <f>IF(C32&gt;0.1,C32-(C32*(SUM($T$8:$T$14)+$Y$9+$T$16))-(C32/IF(C39=0,1,C39)*-C44),IF(C32&lt;-0.1,C32-(C32*(SUM($T$8:$T$14)+$Y$9+$T$16))-(C32/IF(C39=0,1,C39)*-C44),0))</f>
        <v>0</v>
      </c>
      <c r="D58" s="289">
        <f t="shared" ref="D58:H58" si="56">IF(D32&gt;0.1,D32-(D32*(SUM($T$8:$T$14)+$Y$9+$T$16))-(D32/IF(D39=0,1,D39)*-D44),IF(D32&lt;-0.1,D32-(D32*(SUM($T$8:$T$14)+$Y$9+$T$16))-(D32/IF(D39=0,1,D39)*-D44),0))</f>
        <v>0</v>
      </c>
      <c r="E58" s="289">
        <f t="shared" si="56"/>
        <v>0</v>
      </c>
      <c r="F58" s="289">
        <f t="shared" si="56"/>
        <v>0</v>
      </c>
      <c r="G58" s="289">
        <f t="shared" si="56"/>
        <v>0</v>
      </c>
      <c r="H58" s="290">
        <f t="shared" si="56"/>
        <v>0</v>
      </c>
      <c r="I58" s="317" t="str">
        <f>A58</f>
        <v>Dont oblig. de verser le salaire (art. 324a CO)</v>
      </c>
      <c r="J58" s="277" t="s">
        <v>128</v>
      </c>
      <c r="K58" s="289">
        <f t="shared" ref="K58:P58" si="57">IF(K32&gt;0.1,K32-(K32*(SUM($T$8:$T$14)+$Y$9+$T$16))-(K32/IF(K39=0,1,K39)*-K44),IF(K32&lt;-0.1,K32-(K32*(SUM($T$8:$T$14)+$Y$9+$T$16))-(K32/IF(K39=0,1,K39)*-K44),0))</f>
        <v>0</v>
      </c>
      <c r="L58" s="289">
        <f t="shared" si="57"/>
        <v>0</v>
      </c>
      <c r="M58" s="289">
        <f t="shared" si="57"/>
        <v>0</v>
      </c>
      <c r="N58" s="289">
        <f t="shared" si="57"/>
        <v>0</v>
      </c>
      <c r="O58" s="289">
        <f t="shared" si="57"/>
        <v>0</v>
      </c>
      <c r="P58" s="290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18" t="str">
        <f>IF(G12="oui","Contribution d'assistance de l'AI","")</f>
        <v/>
      </c>
      <c r="B60" s="278"/>
      <c r="C60" s="219" t="str">
        <f t="shared" ref="C60:H60" si="58">IF($G$12="oui",C21,"")</f>
        <v/>
      </c>
      <c r="D60" s="219" t="str">
        <f t="shared" si="58"/>
        <v/>
      </c>
      <c r="E60" s="219" t="str">
        <f t="shared" si="58"/>
        <v/>
      </c>
      <c r="F60" s="219" t="str">
        <f t="shared" si="58"/>
        <v/>
      </c>
      <c r="G60" s="219" t="str">
        <f t="shared" si="58"/>
        <v/>
      </c>
      <c r="H60" s="220" t="str">
        <f t="shared" si="58"/>
        <v/>
      </c>
      <c r="I60" s="318" t="str">
        <f t="shared" ref="I60:I64" si="59">A60</f>
        <v/>
      </c>
      <c r="J60" s="278"/>
      <c r="K60" s="219" t="str">
        <f t="shared" ref="K60:P60" si="60">IF($G$12="oui",K21,"")</f>
        <v/>
      </c>
      <c r="L60" s="219" t="str">
        <f t="shared" si="60"/>
        <v/>
      </c>
      <c r="M60" s="219" t="str">
        <f t="shared" si="60"/>
        <v/>
      </c>
      <c r="N60" s="221" t="str">
        <f t="shared" si="60"/>
        <v/>
      </c>
      <c r="O60" s="219" t="str">
        <f t="shared" si="60"/>
        <v/>
      </c>
      <c r="P60" s="220" t="str">
        <f t="shared" si="60"/>
        <v/>
      </c>
      <c r="Q60" s="225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19" t="str">
        <f>IF(G12="oui","A) Nb. d'heures standard","")</f>
        <v/>
      </c>
      <c r="B61" s="279" t="str">
        <f>IF(G12="oui","h"," ")</f>
        <v xml:space="preserve"> </v>
      </c>
      <c r="C61" s="291" t="str">
        <f>IF($G$12="oui",(IF(DATEDIF($F$7,C$21,"Y")&lt;18,0,C26+C28)),"")</f>
        <v/>
      </c>
      <c r="D61" s="291" t="str">
        <f t="shared" ref="D61:H61" si="61">IF($G$12="oui",(IF(DATEDIF($F$7,D$21,"Y")&lt;18,0,D26+D28)),"")</f>
        <v/>
      </c>
      <c r="E61" s="291" t="str">
        <f t="shared" si="61"/>
        <v/>
      </c>
      <c r="F61" s="223" t="str">
        <f t="shared" si="61"/>
        <v/>
      </c>
      <c r="G61" s="223" t="str">
        <f t="shared" si="61"/>
        <v/>
      </c>
      <c r="H61" s="222" t="str">
        <f t="shared" si="61"/>
        <v/>
      </c>
      <c r="I61" s="320" t="str">
        <f t="shared" si="59"/>
        <v/>
      </c>
      <c r="J61" s="279" t="str">
        <f>B61</f>
        <v xml:space="preserve"> </v>
      </c>
      <c r="K61" s="223" t="str">
        <f t="shared" ref="K61:P61" si="62">IF($G$12="oui",(IF(DATEDIF($F$7,K$21,"Y")&lt;18,0,K26+K28)),"")</f>
        <v/>
      </c>
      <c r="L61" s="223" t="str">
        <f t="shared" si="62"/>
        <v/>
      </c>
      <c r="M61" s="223" t="str">
        <f t="shared" si="62"/>
        <v/>
      </c>
      <c r="N61" s="295" t="str">
        <f t="shared" si="62"/>
        <v/>
      </c>
      <c r="O61" s="223" t="str">
        <f t="shared" si="62"/>
        <v/>
      </c>
      <c r="P61" s="222" t="str">
        <f t="shared" si="62"/>
        <v/>
      </c>
      <c r="Q61" s="22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0" t="str">
        <f>IF(G12="oui","B) Nb. d'heures quali B","")</f>
        <v/>
      </c>
      <c r="B62" s="280" t="str">
        <f>IF(G12="oui","h"," ")</f>
        <v xml:space="preserve"> </v>
      </c>
      <c r="C62" s="291"/>
      <c r="D62" s="291"/>
      <c r="E62" s="291"/>
      <c r="F62" s="291"/>
      <c r="G62" s="291"/>
      <c r="H62" s="292"/>
      <c r="I62" s="320" t="str">
        <f t="shared" si="59"/>
        <v/>
      </c>
      <c r="J62" s="280" t="str">
        <f>B62</f>
        <v xml:space="preserve"> </v>
      </c>
      <c r="K62" s="223"/>
      <c r="L62" s="223"/>
      <c r="M62" s="223"/>
      <c r="N62" s="295"/>
      <c r="O62" s="223"/>
      <c r="P62" s="222"/>
      <c r="Q62" s="222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x14ac:dyDescent="0.2">
      <c r="A63" s="392" t="str">
        <f>IF($G$12="oui","C) Nb. d'engagements 
de nuit","")</f>
        <v/>
      </c>
      <c r="B63" s="393" t="str">
        <f>IF(G12="oui","Nb."," ")</f>
        <v xml:space="preserve"> </v>
      </c>
      <c r="C63" s="394" t="str">
        <f>IF($G$12="oui",(IF(DATEDIF($F$7,C$21,"Y")&lt;18,0,C25)),"")</f>
        <v/>
      </c>
      <c r="D63" s="394" t="str">
        <f t="shared" ref="D63:H63" si="63">IF($G$12="oui",(IF(DATEDIF($F$7,D$21,"Y")&lt;18,0,D25)),"")</f>
        <v/>
      </c>
      <c r="E63" s="394" t="str">
        <f t="shared" si="63"/>
        <v/>
      </c>
      <c r="F63" s="394" t="str">
        <f t="shared" si="63"/>
        <v/>
      </c>
      <c r="G63" s="394" t="str">
        <f t="shared" si="63"/>
        <v/>
      </c>
      <c r="H63" s="395" t="str">
        <f t="shared" si="63"/>
        <v/>
      </c>
      <c r="I63" s="392" t="str">
        <f t="shared" si="59"/>
        <v/>
      </c>
      <c r="J63" s="393" t="str">
        <f>B63</f>
        <v xml:space="preserve"> </v>
      </c>
      <c r="K63" s="394" t="str">
        <f t="shared" ref="K63:P63" si="64">IF($G$12="oui",(IF(DATEDIF($F$7,K$21,"Y")&lt;18,0,K25)),"")</f>
        <v/>
      </c>
      <c r="L63" s="394" t="str">
        <f t="shared" si="64"/>
        <v/>
      </c>
      <c r="M63" s="394" t="str">
        <f t="shared" si="64"/>
        <v/>
      </c>
      <c r="N63" s="396" t="str">
        <f t="shared" si="64"/>
        <v/>
      </c>
      <c r="O63" s="394" t="str">
        <f t="shared" si="64"/>
        <v/>
      </c>
      <c r="P63" s="395" t="str">
        <f t="shared" si="64"/>
        <v/>
      </c>
      <c r="Q63" s="397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1" customFormat="1" ht="15" customHeight="1" thickBot="1" x14ac:dyDescent="0.25">
      <c r="A64" s="433" t="str">
        <f>IF(G12="oui","Oblig. de verser le salaire","")</f>
        <v/>
      </c>
      <c r="B64" s="434"/>
      <c r="C64" s="293" t="str">
        <f>IF($G$12="oui",(IF(OR(C32&gt;0.1,C33&gt;0.1),"décompter","")),"")</f>
        <v/>
      </c>
      <c r="D64" s="293" t="str">
        <f t="shared" ref="D64:H64" si="65">IF($G$12="oui",(IF(OR(D32&gt;0.1,D33&gt;0.1),"décompter","")),"")</f>
        <v/>
      </c>
      <c r="E64" s="293" t="str">
        <f t="shared" si="65"/>
        <v/>
      </c>
      <c r="F64" s="293" t="str">
        <f t="shared" si="65"/>
        <v/>
      </c>
      <c r="G64" s="293" t="str">
        <f t="shared" si="65"/>
        <v/>
      </c>
      <c r="H64" s="294" t="str">
        <f t="shared" si="65"/>
        <v/>
      </c>
      <c r="I64" s="435" t="str">
        <f t="shared" si="59"/>
        <v/>
      </c>
      <c r="J64" s="434"/>
      <c r="K64" s="293" t="str">
        <f t="shared" ref="K64:P64" si="66">IF($G$12="oui",(IF(OR(K32&gt;0.1,K33&gt;0.1),"décompter","")),"")</f>
        <v/>
      </c>
      <c r="L64" s="293" t="str">
        <f t="shared" si="66"/>
        <v/>
      </c>
      <c r="M64" s="293" t="str">
        <f t="shared" si="66"/>
        <v/>
      </c>
      <c r="N64" s="296" t="str">
        <f t="shared" si="66"/>
        <v/>
      </c>
      <c r="O64" s="293" t="str">
        <f t="shared" si="66"/>
        <v/>
      </c>
      <c r="P64" s="294" t="str">
        <f t="shared" si="66"/>
        <v/>
      </c>
      <c r="Q64" s="227" t="str">
        <f>IF($G$12="oui",SUM(C64:H64)+SUM(K64:P64),"")</f>
        <v/>
      </c>
      <c r="R64" s="398"/>
      <c r="S64" s="398"/>
      <c r="T64" s="398"/>
      <c r="U64" s="398"/>
      <c r="V64" s="398"/>
      <c r="W64" s="399"/>
      <c r="X64" s="400"/>
      <c r="Y64" s="400"/>
      <c r="Z64" s="400"/>
      <c r="AA64" s="400"/>
      <c r="AB64" s="400"/>
      <c r="AC64" s="400"/>
      <c r="AD64" s="400"/>
      <c r="AE64" s="400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6"/>
      <c r="Y65" s="226"/>
      <c r="Z65" s="226"/>
      <c r="AA65" s="226"/>
      <c r="AB65" s="226"/>
      <c r="AC65" s="226"/>
      <c r="AD65" s="226"/>
      <c r="AE65" s="226"/>
    </row>
    <row r="66" spans="1:31" ht="15" customHeight="1" x14ac:dyDescent="0.2">
      <c r="S66" s="62"/>
      <c r="T66" s="62"/>
      <c r="U66" s="62"/>
    </row>
  </sheetData>
  <sheetProtection algorithmName="SHA-512" hashValue="NvAXJRj1zh2ebGojLcJyzJ+1AOFeG8Bdf5EuhpPqqLmZG7VQkhBy2En5GTEqVRo8YFWkVMPAX9La0JtEUDCGLA==" saltValue="wUY+0GYqq5TLDsxuZgz0TA==" spinCount="100000" sheet="1" objects="1" scenarios="1"/>
  <mergeCells count="48">
    <mergeCell ref="K52:K53"/>
    <mergeCell ref="C52:C53"/>
    <mergeCell ref="L52:L53"/>
    <mergeCell ref="D52:D53"/>
    <mergeCell ref="E52:E53"/>
    <mergeCell ref="F52:F53"/>
    <mergeCell ref="G52:G53"/>
    <mergeCell ref="H52:H53"/>
    <mergeCell ref="F14:G14"/>
    <mergeCell ref="F15:G15"/>
    <mergeCell ref="F16:G16"/>
    <mergeCell ref="S18:U18"/>
    <mergeCell ref="S20:U22"/>
    <mergeCell ref="C7:D7"/>
    <mergeCell ref="F7:G7"/>
    <mergeCell ref="C8:D8"/>
    <mergeCell ref="F8:G8"/>
    <mergeCell ref="C9:D9"/>
    <mergeCell ref="F9:G9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AB4:AB5"/>
    <mergeCell ref="AC4:AC5"/>
    <mergeCell ref="AD4:AD5"/>
    <mergeCell ref="AH4:AI5"/>
    <mergeCell ref="C6:D6"/>
    <mergeCell ref="F6:G6"/>
    <mergeCell ref="M52:M53"/>
    <mergeCell ref="N52:N53"/>
    <mergeCell ref="O52:O53"/>
    <mergeCell ref="P52:P53"/>
    <mergeCell ref="S24:U26"/>
    <mergeCell ref="S28:U30"/>
    <mergeCell ref="S31:U32"/>
    <mergeCell ref="S33:U35"/>
    <mergeCell ref="S36:U40"/>
    <mergeCell ref="S41:U43"/>
  </mergeCells>
  <conditionalFormatting sqref="A25">
    <cfRule type="beginsWith" dxfId="403" priority="28" operator="beginsWith" text="Nom">
      <formula>LEFT(A25,LEN("Nom"))="Nom"</formula>
    </cfRule>
  </conditionalFormatting>
  <conditionalFormatting sqref="A26">
    <cfRule type="containsText" dxfId="402" priority="39" operator="containsText" text="Nombre d'heures">
      <formula>NOT(ISERROR(SEARCH("Nombre d'heures",A26)))</formula>
    </cfRule>
  </conditionalFormatting>
  <conditionalFormatting sqref="A28">
    <cfRule type="containsText" dxfId="401" priority="42" operator="containsText" text="Nombre d'heures II">
      <formula>NOT(ISERROR(SEARCH("Nombre d'heures II",A28)))</formula>
    </cfRule>
  </conditionalFormatting>
  <conditionalFormatting sqref="A24:B24">
    <cfRule type="expression" dxfId="400" priority="40">
      <formula>$G$11="oui"</formula>
    </cfRule>
  </conditionalFormatting>
  <conditionalFormatting sqref="A25:B25">
    <cfRule type="expression" dxfId="399" priority="31">
      <formula>$P$10&gt;0.1</formula>
    </cfRule>
  </conditionalFormatting>
  <conditionalFormatting sqref="A50:B50">
    <cfRule type="expression" dxfId="398" priority="186">
      <formula>$G$11="ja"</formula>
    </cfRule>
  </conditionalFormatting>
  <conditionalFormatting sqref="B25">
    <cfRule type="beginsWith" dxfId="397" priority="27" operator="beginsWith" text="Nb">
      <formula>LEFT(B25,LEN("Nb"))="Nb"</formula>
    </cfRule>
  </conditionalFormatting>
  <conditionalFormatting sqref="B26">
    <cfRule type="containsText" dxfId="396" priority="30" operator="containsText" text="h">
      <formula>NOT(ISERROR(SEARCH("h",B26)))</formula>
    </cfRule>
  </conditionalFormatting>
  <conditionalFormatting sqref="B28">
    <cfRule type="containsText" dxfId="395" priority="29" operator="containsText" text="h">
      <formula>NOT(ISERROR(SEARCH("h",B28)))</formula>
    </cfRule>
  </conditionalFormatting>
  <conditionalFormatting sqref="C17">
    <cfRule type="expression" dxfId="394" priority="54">
      <formula>$A$17="13ème salaire"</formula>
    </cfRule>
  </conditionalFormatting>
  <conditionalFormatting sqref="C22:H22">
    <cfRule type="cellIs" dxfId="393" priority="50" operator="greaterThan">
      <formula>1</formula>
    </cfRule>
  </conditionalFormatting>
  <conditionalFormatting sqref="C23:H23 K23:P23">
    <cfRule type="expression" dxfId="392" priority="17">
      <formula>$B$23="CHF"</formula>
    </cfRule>
  </conditionalFormatting>
  <conditionalFormatting sqref="C24:H24 K24:P24">
    <cfRule type="expression" dxfId="391" priority="36">
      <formula>$G$11="oui"</formula>
    </cfRule>
  </conditionalFormatting>
  <conditionalFormatting sqref="C25:H25 K25:P25">
    <cfRule type="expression" dxfId="390" priority="3">
      <formula>$B$25="Nb."</formula>
    </cfRule>
  </conditionalFormatting>
  <conditionalFormatting sqref="C26:H26">
    <cfRule type="expression" dxfId="389" priority="10">
      <formula>$G$12="oui"</formula>
    </cfRule>
    <cfRule type="expression" dxfId="388" priority="11">
      <formula>$C$16="Salaire horaire"</formula>
    </cfRule>
  </conditionalFormatting>
  <conditionalFormatting sqref="C28:H28 K28:P28">
    <cfRule type="expression" dxfId="387" priority="37">
      <formula>$G$10="oui"</formula>
    </cfRule>
  </conditionalFormatting>
  <conditionalFormatting sqref="C50:H50">
    <cfRule type="expression" dxfId="386" priority="163">
      <formula>C51&gt;0.01</formula>
    </cfRule>
    <cfRule type="expression" dxfId="385" priority="164">
      <formula>C51&lt;-0.01</formula>
    </cfRule>
  </conditionalFormatting>
  <conditionalFormatting sqref="C51:H51">
    <cfRule type="cellIs" dxfId="384" priority="177" operator="lessThan">
      <formula>-0.04</formula>
    </cfRule>
    <cfRule type="cellIs" dxfId="383" priority="178" operator="greaterThan">
      <formula>0.04</formula>
    </cfRule>
  </conditionalFormatting>
  <conditionalFormatting sqref="G1">
    <cfRule type="containsText" dxfId="382" priority="25" operator="containsText" text="Attention faute">
      <formula>NOT(ISERROR(SEARCH("Attention faute",G1)))</formula>
    </cfRule>
  </conditionalFormatting>
  <conditionalFormatting sqref="G10">
    <cfRule type="expression" dxfId="381" priority="18">
      <formula>$C$16="Salaire horaire"</formula>
    </cfRule>
  </conditionalFormatting>
  <conditionalFormatting sqref="H17:H18 S24">
    <cfRule type="beginsWith" dxfId="380" priority="46" operator="beginsWith" text="ATT">
      <formula>LEFT(H17,LEN("ATT"))="ATT"</formula>
    </cfRule>
  </conditionalFormatting>
  <conditionalFormatting sqref="I25">
    <cfRule type="beginsWith" dxfId="379" priority="5" operator="beginsWith" text="Nom">
      <formula>LEFT(I25,LEN("Nom"))="Nom"</formula>
    </cfRule>
  </conditionalFormatting>
  <conditionalFormatting sqref="I26">
    <cfRule type="containsText" dxfId="378" priority="22" operator="containsText" text="Nombre d'heures">
      <formula>NOT(ISERROR(SEARCH("Nombre d'heures",I26)))</formula>
    </cfRule>
  </conditionalFormatting>
  <conditionalFormatting sqref="I28">
    <cfRule type="containsText" dxfId="377" priority="24" operator="containsText" text="Nombre d'heures II">
      <formula>NOT(ISERROR(SEARCH("Nombre d'heures II",I28)))</formula>
    </cfRule>
  </conditionalFormatting>
  <conditionalFormatting sqref="I24:J24">
    <cfRule type="expression" dxfId="376" priority="23">
      <formula>$G$11="oui"</formula>
    </cfRule>
  </conditionalFormatting>
  <conditionalFormatting sqref="I25:J25">
    <cfRule type="expression" dxfId="375" priority="6">
      <formula>$P$10&gt;0.1</formula>
    </cfRule>
  </conditionalFormatting>
  <conditionalFormatting sqref="I50:J50">
    <cfRule type="expression" dxfId="374" priority="149">
      <formula>$G$11="ja"</formula>
    </cfRule>
  </conditionalFormatting>
  <conditionalFormatting sqref="J25">
    <cfRule type="beginsWith" dxfId="373" priority="4" operator="beginsWith" text="Nb">
      <formula>LEFT(J25,LEN("Nb"))="Nb"</formula>
    </cfRule>
  </conditionalFormatting>
  <conditionalFormatting sqref="J26">
    <cfRule type="containsText" dxfId="372" priority="21" operator="containsText" text="h">
      <formula>NOT(ISERROR(SEARCH("h",J26)))</formula>
    </cfRule>
  </conditionalFormatting>
  <conditionalFormatting sqref="J28">
    <cfRule type="containsText" dxfId="371" priority="20" operator="containsText" text="h">
      <formula>NOT(ISERROR(SEARCH("h",J28)))</formula>
    </cfRule>
  </conditionalFormatting>
  <conditionalFormatting sqref="K22:P22">
    <cfRule type="cellIs" dxfId="370" priority="51" operator="greaterThan">
      <formula>1</formula>
    </cfRule>
  </conditionalFormatting>
  <conditionalFormatting sqref="K26:P26">
    <cfRule type="expression" dxfId="369" priority="34">
      <formula>$G$12="oui"</formula>
    </cfRule>
    <cfRule type="expression" dxfId="368" priority="35">
      <formula>$C$16="Salaire horaire"</formula>
    </cfRule>
  </conditionalFormatting>
  <conditionalFormatting sqref="K50:P50">
    <cfRule type="expression" dxfId="367" priority="151">
      <formula>K51&gt;0.01</formula>
    </cfRule>
    <cfRule type="expression" dxfId="366" priority="152">
      <formula>K51&lt;-0.01</formula>
    </cfRule>
  </conditionalFormatting>
  <conditionalFormatting sqref="K51:P51">
    <cfRule type="cellIs" dxfId="365" priority="173" operator="lessThan">
      <formula>-0.04</formula>
    </cfRule>
    <cfRule type="cellIs" dxfId="364" priority="174" operator="greaterThan">
      <formula>0.04</formula>
    </cfRule>
  </conditionalFormatting>
  <conditionalFormatting sqref="L7">
    <cfRule type="expression" dxfId="363" priority="33">
      <formula>$C$16="à choisir"</formula>
    </cfRule>
  </conditionalFormatting>
  <conditionalFormatting sqref="L12">
    <cfRule type="expression" dxfId="362" priority="43">
      <formula>$G$10="oui"</formula>
    </cfRule>
  </conditionalFormatting>
  <conditionalFormatting sqref="M8">
    <cfRule type="expression" dxfId="361" priority="32">
      <formula>$C$16="Salaire horaire"</formula>
    </cfRule>
    <cfRule type="expression" dxfId="360" priority="26">
      <formula>$C$16="salaire mensuel"</formula>
    </cfRule>
  </conditionalFormatting>
  <conditionalFormatting sqref="M13">
    <cfRule type="expression" dxfId="359" priority="38">
      <formula>$G$10="oui"</formula>
    </cfRule>
  </conditionalFormatting>
  <conditionalFormatting sqref="P1">
    <cfRule type="containsText" dxfId="358" priority="19" operator="containsText" text="Attention faute">
      <formula>NOT(ISERROR(SEARCH("Attention faute",P1)))</formula>
    </cfRule>
  </conditionalFormatting>
  <conditionalFormatting sqref="P7">
    <cfRule type="expression" dxfId="357" priority="41">
      <formula>$Q$7="du Sal.horaire"</formula>
    </cfRule>
  </conditionalFormatting>
  <conditionalFormatting sqref="P10">
    <cfRule type="expression" dxfId="356" priority="44">
      <formula>$Q$10="heures"</formula>
    </cfRule>
  </conditionalFormatting>
  <conditionalFormatting sqref="S20">
    <cfRule type="beginsWith" dxfId="355" priority="8" operator="beginsWith" text="Rema">
      <formula>LEFT(S20,LEN("Rema"))="Rema"</formula>
    </cfRule>
    <cfRule type="beginsWith" dxfId="354" priority="7" operator="beginsWith" text="Ni">
      <formula>LEFT(S20,LEN("Ni"))="Ni"</formula>
    </cfRule>
    <cfRule type="beginsWith" dxfId="353" priority="9" operator="beginsWith" text="La">
      <formula>LEFT(S20,LEN("La"))="La"</formula>
    </cfRule>
  </conditionalFormatting>
  <conditionalFormatting sqref="S28">
    <cfRule type="beginsWith" dxfId="352" priority="45" operator="beginsWith" text="ATT">
      <formula>LEFT(S28,LEN("ATT"))="ATT"</formula>
    </cfRule>
  </conditionalFormatting>
  <conditionalFormatting sqref="S36:S37">
    <cfRule type="beginsWith" dxfId="351" priority="102" operator="beginsWith" text="Att">
      <formula>LEFT(S36,LEN("Att"))="Att"</formula>
    </cfRule>
  </conditionalFormatting>
  <conditionalFormatting sqref="A64:Q64">
    <cfRule type="expression" dxfId="350" priority="1">
      <formula>$G$12="non"</formula>
    </cfRule>
  </conditionalFormatting>
  <conditionalFormatting sqref="A60:Q63">
    <cfRule type="expression" dxfId="349" priority="2">
      <formula>$G$12="non"</formula>
    </cfRule>
  </conditionalFormatting>
  <dataValidations count="7">
    <dataValidation type="list" allowBlank="1" showInputMessage="1" showErrorMessage="1" sqref="C10" xr:uid="{26D1D9F3-1664-4200-BD05-28CF2F5EC55F}">
      <formula1>$X$6:$X$8</formula1>
    </dataValidation>
    <dataValidation type="list" allowBlank="1" showInputMessage="1" showErrorMessage="1" sqref="C17" xr:uid="{00000000-0002-0000-0300-000004000000}">
      <formula1>$Y$11:$Y$12</formula1>
    </dataValidation>
    <dataValidation type="list" allowBlank="1" showInputMessage="1" showErrorMessage="1" sqref="G10" xr:uid="{00000000-0002-0000-0300-000005000000}">
      <formula1>$AC$13:$AC$14</formula1>
    </dataValidation>
    <dataValidation type="list" allowBlank="1" showInputMessage="1" showErrorMessage="1" sqref="F9:G9" xr:uid="{00000000-0002-0000-0300-000006000000}">
      <formula1>$AB$6:$AB$19</formula1>
    </dataValidation>
    <dataValidation type="list" allowBlank="1" showInputMessage="1" showErrorMessage="1" sqref="C16" xr:uid="{034E9868-1CA4-478A-9A3D-86664495DAD1}">
      <formula1>$X$11:$X$13</formula1>
    </dataValidation>
    <dataValidation type="list" allowBlank="1" showInputMessage="1" showErrorMessage="1" sqref="G13" xr:uid="{178B70BC-9A77-4DB7-B0A0-5E317F6EE3FC}">
      <formula1>$Y$6:$Y$8</formula1>
    </dataValidation>
    <dataValidation type="list" allowBlank="1" showInputMessage="1" showErrorMessage="1" sqref="G11:G12" xr:uid="{6427855E-5277-4219-9E51-6334BC79E2F3}">
      <formula1>$AH$6:$AH$8</formula1>
    </dataValidation>
  </dataValidations>
  <hyperlinks>
    <hyperlink ref="G1:H3" location="Fehler1" display="Fehler1" xr:uid="{C3440D0D-CD70-4FAF-9B9C-59B8990C9EDD}"/>
    <hyperlink ref="P1:Q3" location="Fehler1" display="Fehler1" xr:uid="{515BFDC8-5275-4E21-A93C-A71BA294DF5C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7.0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BD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19.7109375" style="1" customWidth="1"/>
    <col min="10" max="10" width="4.5703125" style="1" bestFit="1" customWidth="1"/>
    <col min="11" max="16" width="12.28515625" style="1" customWidth="1"/>
    <col min="17" max="17" width="13.28515625" style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hidden="1" customWidth="1"/>
    <col min="38" max="16384" width="11.42578125" style="1"/>
  </cols>
  <sheetData>
    <row r="1" spans="1:35" ht="12.75" customHeight="1" x14ac:dyDescent="0.2">
      <c r="A1" s="443" t="str">
        <f>'PA 1'!A1:C1</f>
        <v>Nom/Prénom employeur</v>
      </c>
      <c r="B1" s="443"/>
      <c r="C1" s="443"/>
      <c r="D1" s="453">
        <v>45657</v>
      </c>
      <c r="E1" s="453"/>
      <c r="F1" s="453"/>
      <c r="G1" s="444" t="str">
        <f>IF($W45&gt;4,"Attention erreur!",IF($W$45&gt;0,"Attention remarque!",""))</f>
        <v/>
      </c>
      <c r="H1" s="444"/>
      <c r="I1" s="460" t="str">
        <f>A1</f>
        <v>Nom/Prénom employeur</v>
      </c>
      <c r="J1" s="460"/>
      <c r="K1" s="460"/>
      <c r="L1" s="453">
        <f>D1</f>
        <v>45657</v>
      </c>
      <c r="M1" s="453"/>
      <c r="N1" s="453"/>
      <c r="O1" s="453"/>
      <c r="P1" s="444" t="str">
        <f>IF($W45&gt;4,"Attention erreur!",IF($W$45&gt;0,"Attention remarque!",""))</f>
        <v/>
      </c>
      <c r="Q1" s="444"/>
      <c r="S1" s="246" t="s">
        <v>47</v>
      </c>
      <c r="T1" s="260"/>
      <c r="U1" s="361" t="s">
        <v>48</v>
      </c>
      <c r="V1" s="362" t="s">
        <v>49</v>
      </c>
      <c r="W1" s="68"/>
      <c r="AE1" s="1"/>
    </row>
    <row r="2" spans="1:35" ht="12.75" customHeight="1" x14ac:dyDescent="0.2">
      <c r="A2" s="443" t="str">
        <f>'PA 1'!A2:C2</f>
        <v>Lieu employeur</v>
      </c>
      <c r="B2" s="443"/>
      <c r="C2" s="443"/>
      <c r="D2" s="453"/>
      <c r="E2" s="453"/>
      <c r="F2" s="453"/>
      <c r="G2" s="444"/>
      <c r="H2" s="444"/>
      <c r="I2" s="460" t="str">
        <f>A2</f>
        <v>Lieu employeur</v>
      </c>
      <c r="J2" s="460"/>
      <c r="K2" s="460"/>
      <c r="L2" s="453"/>
      <c r="M2" s="453"/>
      <c r="N2" s="453"/>
      <c r="O2" s="453"/>
      <c r="P2" s="444"/>
      <c r="Q2" s="444"/>
      <c r="S2" s="249" t="s">
        <v>51</v>
      </c>
      <c r="T2" s="2"/>
      <c r="U2" s="218">
        <f>IF(C16="Salaire horaire",(M8*M7*52)+(M13*M12*52),(M8+Y13)*12)</f>
        <v>0</v>
      </c>
      <c r="V2" s="261"/>
      <c r="W2" s="68"/>
      <c r="Y2" s="466" t="s">
        <v>52</v>
      </c>
      <c r="AA2" s="466" t="s">
        <v>53</v>
      </c>
      <c r="AE2" s="1"/>
    </row>
    <row r="3" spans="1:35" ht="5.0999999999999996" customHeight="1" x14ac:dyDescent="0.2">
      <c r="G3" s="444"/>
      <c r="H3" s="444"/>
      <c r="P3" s="444"/>
      <c r="Q3" s="444"/>
      <c r="S3" s="254"/>
      <c r="V3" s="250"/>
      <c r="W3" s="68"/>
      <c r="Y3" s="466"/>
      <c r="AA3" s="466"/>
      <c r="AE3" s="1"/>
    </row>
    <row r="4" spans="1:35" ht="15.75" customHeight="1" thickBot="1" x14ac:dyDescent="0.3">
      <c r="A4" s="41" t="s">
        <v>54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0" t="s">
        <v>55</v>
      </c>
      <c r="J4" s="360"/>
      <c r="K4" s="360"/>
      <c r="L4" s="360"/>
      <c r="M4" s="42"/>
      <c r="N4" s="42"/>
      <c r="O4" s="42"/>
      <c r="P4" s="42"/>
      <c r="Q4" s="51" t="str">
        <f>CONCATENATE($C$6," ",$C$7)</f>
        <v xml:space="preserve"> </v>
      </c>
      <c r="S4" s="454" t="s">
        <v>56</v>
      </c>
      <c r="T4" s="455"/>
      <c r="U4" s="262">
        <f>((U2-(U2*SUM(T8:T14,T16,Y9)+(12*T15)))*Z14)</f>
        <v>0</v>
      </c>
      <c r="V4" s="263">
        <f>U4/365</f>
        <v>0</v>
      </c>
      <c r="W4" s="68"/>
      <c r="X4" s="464" t="s">
        <v>57</v>
      </c>
      <c r="Y4" s="466"/>
      <c r="Z4" s="464" t="s">
        <v>58</v>
      </c>
      <c r="AA4" s="466"/>
      <c r="AB4" s="467" t="s">
        <v>59</v>
      </c>
      <c r="AC4" s="468" t="s">
        <v>60</v>
      </c>
      <c r="AD4" s="465" t="s">
        <v>61</v>
      </c>
      <c r="AE4" s="1"/>
      <c r="AH4" s="464" t="s">
        <v>62</v>
      </c>
      <c r="AI4" s="464"/>
    </row>
    <row r="5" spans="1:35" ht="5.0999999999999996" customHeight="1" x14ac:dyDescent="0.2">
      <c r="X5" s="464"/>
      <c r="Y5" s="466"/>
      <c r="Z5" s="464"/>
      <c r="AA5" s="466"/>
      <c r="AB5" s="467"/>
      <c r="AC5" s="468"/>
      <c r="AD5" s="465"/>
      <c r="AE5" s="2"/>
      <c r="AF5" s="4"/>
      <c r="AG5" s="48"/>
      <c r="AH5" s="464"/>
      <c r="AI5" s="464"/>
    </row>
    <row r="6" spans="1:35" s="2" customFormat="1" ht="13.5" thickBot="1" x14ac:dyDescent="0.25">
      <c r="A6" s="2" t="s">
        <v>63</v>
      </c>
      <c r="C6" s="452"/>
      <c r="D6" s="452"/>
      <c r="E6" s="2" t="s">
        <v>64</v>
      </c>
      <c r="F6" s="445"/>
      <c r="G6" s="445"/>
      <c r="I6" s="6" t="s">
        <v>65</v>
      </c>
      <c r="N6" s="6" t="str">
        <f>IF(AND(C16="Salaire horaire",G11="oui"),"Calcul de l'indemnité les heures de garde","")</f>
        <v/>
      </c>
      <c r="W6" s="180"/>
      <c r="X6" s="2" t="s">
        <v>66</v>
      </c>
      <c r="Y6" s="2" t="s">
        <v>66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28" t="s">
        <v>66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67</v>
      </c>
      <c r="AG6" s="49"/>
      <c r="AH6" s="2" t="s">
        <v>66</v>
      </c>
    </row>
    <row r="7" spans="1:35" s="2" customFormat="1" x14ac:dyDescent="0.2">
      <c r="A7" s="2" t="s">
        <v>68</v>
      </c>
      <c r="C7" s="452"/>
      <c r="D7" s="452"/>
      <c r="E7" s="2" t="s">
        <v>69</v>
      </c>
      <c r="F7" s="445"/>
      <c r="G7" s="445"/>
      <c r="I7" s="2" t="str">
        <f>IF(C16="Salaire horaire",IF(G10="oui","Taux d'occupation I","Taux d'occupation"),IF(C16="Salaire mensuel","Taux d'occupation",""))</f>
        <v/>
      </c>
      <c r="L7" s="406"/>
      <c r="M7" s="371">
        <f>42*L7</f>
        <v>0</v>
      </c>
      <c r="N7" s="2" t="str">
        <f>IF(AND(C16="Salaire horaire",G11="oui"),"1 heure de garde =","")</f>
        <v/>
      </c>
      <c r="P7" s="304"/>
      <c r="Q7" s="2" t="str">
        <f>IF(AND(C16="Salaire horaire",G11="oui"),"du Sal.horaire","")</f>
        <v/>
      </c>
      <c r="S7" s="246" t="s">
        <v>70</v>
      </c>
      <c r="T7" s="247" t="s">
        <v>71</v>
      </c>
      <c r="U7" s="248"/>
      <c r="W7" s="1"/>
      <c r="X7" s="2" t="s">
        <v>72</v>
      </c>
      <c r="Y7" s="2" t="s">
        <v>73</v>
      </c>
      <c r="Z7" s="59" t="str">
        <f>IF(OR(G13="ordinaire",G13="à choisir"),"ordinaire","")</f>
        <v>ordinaire</v>
      </c>
      <c r="AA7" s="59"/>
      <c r="AB7" s="59" t="s">
        <v>74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75</v>
      </c>
      <c r="AG7" s="49">
        <f>IF(C16="Salaire horaire",(M7*52/12)*12*M8,(M8)*12)</f>
        <v>0</v>
      </c>
      <c r="AH7" s="2" t="s">
        <v>76</v>
      </c>
    </row>
    <row r="8" spans="1:35" s="2" customFormat="1" ht="12" customHeight="1" x14ac:dyDescent="0.2">
      <c r="A8" s="2" t="s">
        <v>77</v>
      </c>
      <c r="C8" s="452"/>
      <c r="D8" s="452"/>
      <c r="E8" s="2" t="s">
        <v>78</v>
      </c>
      <c r="F8" s="452"/>
      <c r="G8" s="452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5"/>
      <c r="S8" s="249" t="s">
        <v>79</v>
      </c>
      <c r="T8" s="251">
        <f>IF(F7="",0,IF(DATEDIF($F$7,D1,"Y")&lt;18,0,5.3%))</f>
        <v>0</v>
      </c>
      <c r="U8" s="250"/>
      <c r="W8" s="152"/>
      <c r="X8" s="2" t="s">
        <v>80</v>
      </c>
      <c r="Y8" s="59" t="s">
        <v>81</v>
      </c>
      <c r="Z8" s="59"/>
      <c r="AB8" s="59" t="s">
        <v>82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83</v>
      </c>
    </row>
    <row r="9" spans="1:35" s="2" customFormat="1" x14ac:dyDescent="0.2">
      <c r="A9" s="2" t="s">
        <v>84</v>
      </c>
      <c r="C9" s="452"/>
      <c r="D9" s="452"/>
      <c r="E9" s="2" t="s">
        <v>85</v>
      </c>
      <c r="F9" s="456" t="s">
        <v>66</v>
      </c>
      <c r="G9" s="456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3" t="str">
        <f>IF($C$16="Salaire horaire",M8/(1+L9)*L9,"")</f>
        <v/>
      </c>
      <c r="N9" s="6" t="str">
        <f>IF(C16="Salaire horaire","Conversion des engagements de nuit en heures","")</f>
        <v/>
      </c>
      <c r="S9" s="249" t="s">
        <v>86</v>
      </c>
      <c r="T9" s="251">
        <f>IF(DATEDIF($F$7,D1,"Y")&lt;18,0,IF(DATEDIF($F$7,C21,"Y")&gt;(IF($C$10="féminin",63,64)),0,1.1%))</f>
        <v>0</v>
      </c>
      <c r="U9" s="252"/>
      <c r="W9" s="181"/>
      <c r="Y9" s="75">
        <f>IF(G13="à choisir",0,IF(AND(Z6="simplifiée",'PA 1'!Z6="simplifiée",'PA 2'!Z6="simplifiée",'PA 3'!Z6="simplifiée",'PA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87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88</v>
      </c>
      <c r="C10" s="405" t="s">
        <v>66</v>
      </c>
      <c r="E10" s="2" t="str">
        <f>IF(C16="Salaire horaire","Avez-vous 2 différents sal. horaire?","")</f>
        <v/>
      </c>
      <c r="G10" s="427"/>
      <c r="H10" s="168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4" t="str">
        <f>IF($C$16="Salaire horaire",M8-M9,"")</f>
        <v/>
      </c>
      <c r="N10" s="2" t="str">
        <f>IF(C16="Salaire horaire","1 nuit correspond à","")</f>
        <v/>
      </c>
      <c r="P10" s="264"/>
      <c r="Q10" s="2" t="str">
        <f>IF(C16="Salaire horaire","heures","")</f>
        <v/>
      </c>
      <c r="S10" s="249"/>
      <c r="T10" s="251"/>
      <c r="U10" s="252"/>
      <c r="W10" s="1"/>
      <c r="X10" s="6" t="s">
        <v>89</v>
      </c>
      <c r="Y10" s="6" t="s">
        <v>90</v>
      </c>
      <c r="Z10" s="64" t="s">
        <v>91</v>
      </c>
      <c r="AB10" s="59" t="s">
        <v>92</v>
      </c>
      <c r="AD10" s="59" t="e">
        <f>ROUND(M8/L7,0)</f>
        <v>#DIV/0!</v>
      </c>
    </row>
    <row r="11" spans="1:35" s="2" customFormat="1" ht="13.5" customHeight="1" x14ac:dyDescent="0.2">
      <c r="A11" s="2" t="s">
        <v>93</v>
      </c>
      <c r="C11" s="405"/>
      <c r="E11" s="2" t="s">
        <v>94</v>
      </c>
      <c r="G11" s="405" t="s">
        <v>66</v>
      </c>
      <c r="S11" s="249" t="s">
        <v>95</v>
      </c>
      <c r="T11" s="407"/>
      <c r="U11" s="253" t="s">
        <v>96</v>
      </c>
      <c r="W11" s="1"/>
      <c r="X11" s="2" t="s">
        <v>66</v>
      </c>
      <c r="Y11" s="2" t="str">
        <f>IF(C16="Salaire mensuel","oui","")</f>
        <v/>
      </c>
      <c r="Z11" s="179">
        <f>IF(G13="simplifiée",126.8%,0)</f>
        <v>0</v>
      </c>
      <c r="AB11" s="59" t="s">
        <v>97</v>
      </c>
      <c r="AD11" s="59"/>
    </row>
    <row r="12" spans="1:35" s="2" customFormat="1" ht="13.5" customHeight="1" x14ac:dyDescent="0.2">
      <c r="A12" s="2" t="s">
        <v>98</v>
      </c>
      <c r="C12" s="405"/>
      <c r="E12" s="2" t="s">
        <v>99</v>
      </c>
      <c r="G12" s="405" t="s">
        <v>66</v>
      </c>
      <c r="I12" s="2" t="str">
        <f>IF(G10="oui","Taux d'occupation II","")</f>
        <v/>
      </c>
      <c r="L12" s="217"/>
      <c r="M12" s="242">
        <f>42*L12</f>
        <v>0</v>
      </c>
      <c r="S12" s="249"/>
      <c r="T12" s="1"/>
      <c r="U12" s="250"/>
      <c r="W12" s="1"/>
      <c r="X12" s="2" t="s">
        <v>100</v>
      </c>
      <c r="Y12" s="2" t="str">
        <f>IF(C16="Salaire mensuel","non","")</f>
        <v/>
      </c>
      <c r="Z12" s="179">
        <f>IF(AND(G13="ordinaire",T15=0,T16=0),119.9%,0)</f>
        <v>0</v>
      </c>
      <c r="AA12" s="59"/>
      <c r="AB12" s="59" t="s">
        <v>101</v>
      </c>
      <c r="AC12" s="64" t="s">
        <v>102</v>
      </c>
      <c r="AD12" s="59"/>
    </row>
    <row r="13" spans="1:35" s="2" customFormat="1" ht="12.75" customHeight="1" x14ac:dyDescent="0.2">
      <c r="A13" s="2" t="s">
        <v>103</v>
      </c>
      <c r="C13" s="405"/>
      <c r="E13" s="2" t="s">
        <v>104</v>
      </c>
      <c r="G13" s="405" t="s">
        <v>66</v>
      </c>
      <c r="I13" s="5" t="str">
        <f>IF(G10="oui","Salaire horaire II (avec Suppl. vacances)","")</f>
        <v/>
      </c>
      <c r="L13" s="4"/>
      <c r="M13" s="245"/>
      <c r="S13" s="249" t="s">
        <v>105</v>
      </c>
      <c r="T13" s="408"/>
      <c r="U13" s="253" t="s">
        <v>96</v>
      </c>
      <c r="W13" s="68"/>
      <c r="X13" s="2" t="s">
        <v>106</v>
      </c>
      <c r="Y13" s="2">
        <f>IF(C17="oui",M8/12,0)</f>
        <v>0</v>
      </c>
      <c r="Z13" s="179">
        <f>IF(OR(T15&gt;0,T16&gt;0),129.2%,0)</f>
        <v>0</v>
      </c>
      <c r="AA13" s="59"/>
      <c r="AB13" s="59" t="s">
        <v>107</v>
      </c>
      <c r="AC13" s="59" t="s">
        <v>76</v>
      </c>
      <c r="AD13" s="59"/>
    </row>
    <row r="14" spans="1:35" s="2" customFormat="1" ht="12.75" customHeight="1" x14ac:dyDescent="0.2">
      <c r="A14" s="2" t="s">
        <v>108</v>
      </c>
      <c r="C14" s="409"/>
      <c r="E14" s="2" t="s">
        <v>109</v>
      </c>
      <c r="F14" s="452"/>
      <c r="G14" s="452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3" t="str">
        <f>IF(G10="oui",M13/(1+L14)*L14,"")</f>
        <v/>
      </c>
      <c r="S14" s="254"/>
      <c r="T14" s="1"/>
      <c r="U14" s="250"/>
      <c r="W14" s="68"/>
      <c r="Y14" s="151">
        <f>M8</f>
        <v>0</v>
      </c>
      <c r="Z14" s="179">
        <f>SUM(Z11:Z13)</f>
        <v>0</v>
      </c>
      <c r="AA14" s="59"/>
      <c r="AB14" s="58" t="s">
        <v>110</v>
      </c>
      <c r="AC14" s="59" t="s">
        <v>83</v>
      </c>
      <c r="AD14" s="59"/>
    </row>
    <row r="15" spans="1:35" s="2" customFormat="1" ht="12.75" customHeight="1" x14ac:dyDescent="0.2">
      <c r="A15" s="2" t="s">
        <v>111</v>
      </c>
      <c r="C15" s="409"/>
      <c r="E15" s="2" t="s">
        <v>112</v>
      </c>
      <c r="F15" s="452"/>
      <c r="G15" s="452"/>
      <c r="I15" s="5" t="str">
        <f>IF(G10="oui","Salaire horaire II (sans Suppl. vacances)","")</f>
        <v/>
      </c>
      <c r="M15" s="244" t="str">
        <f>IF(G10="oui",M13-M14,"")</f>
        <v/>
      </c>
      <c r="S15" s="249" t="s">
        <v>113</v>
      </c>
      <c r="T15" s="410"/>
      <c r="U15" s="255" t="s">
        <v>114</v>
      </c>
      <c r="W15" s="1"/>
      <c r="Y15" s="2">
        <f>SUM(Y13:Y14)</f>
        <v>0</v>
      </c>
      <c r="Z15" s="59"/>
      <c r="AA15" s="59"/>
      <c r="AB15" s="59" t="s">
        <v>115</v>
      </c>
      <c r="AD15" s="59"/>
    </row>
    <row r="16" spans="1:35" s="2" customFormat="1" ht="12.75" customHeight="1" thickBot="1" x14ac:dyDescent="0.25">
      <c r="A16" s="2" t="s">
        <v>116</v>
      </c>
      <c r="C16" s="405" t="s">
        <v>66</v>
      </c>
      <c r="E16" s="2" t="s">
        <v>117</v>
      </c>
      <c r="F16" s="452"/>
      <c r="G16" s="452"/>
      <c r="S16" s="256" t="s">
        <v>118</v>
      </c>
      <c r="T16" s="411"/>
      <c r="U16" s="257" t="s">
        <v>119</v>
      </c>
      <c r="W16" s="1"/>
      <c r="Z16" s="59"/>
      <c r="AA16" s="59"/>
      <c r="AB16" s="58" t="s">
        <v>120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27"/>
      <c r="D17" s="168" t="str">
        <f>IF(C17&gt;1,"",IF(A17="13ème salaire","à choisir",""))</f>
        <v/>
      </c>
      <c r="H17" s="167"/>
      <c r="W17" s="1"/>
      <c r="X17" s="59"/>
      <c r="Y17" s="59"/>
      <c r="Z17" s="59"/>
      <c r="AA17" s="59"/>
      <c r="AB17" s="59" t="s">
        <v>121</v>
      </c>
      <c r="AC17" s="59"/>
      <c r="AD17" s="59"/>
    </row>
    <row r="18" spans="1:37" s="2" customFormat="1" x14ac:dyDescent="0.2">
      <c r="H18" s="167"/>
      <c r="M18" s="167"/>
      <c r="S18" s="469" t="s">
        <v>122</v>
      </c>
      <c r="T18" s="470"/>
      <c r="U18" s="471"/>
      <c r="V18" s="334"/>
      <c r="X18" s="153"/>
      <c r="Y18" s="154"/>
      <c r="Z18" s="59"/>
      <c r="AA18" s="59"/>
      <c r="AB18" s="2" t="s">
        <v>123</v>
      </c>
      <c r="AD18" s="59"/>
      <c r="AE18" s="59"/>
    </row>
    <row r="19" spans="1:37" s="2" customFormat="1" ht="15" x14ac:dyDescent="0.25">
      <c r="A19" s="41" t="s">
        <v>124</v>
      </c>
      <c r="B19" s="41"/>
      <c r="C19" s="52"/>
      <c r="D19" s="52"/>
      <c r="E19" s="52"/>
      <c r="F19" s="52"/>
      <c r="G19" s="52"/>
      <c r="H19" s="52"/>
      <c r="I19" s="41" t="s">
        <v>124</v>
      </c>
      <c r="J19" s="41"/>
      <c r="K19" s="52"/>
      <c r="L19" s="52"/>
      <c r="M19" s="52"/>
      <c r="N19" s="52"/>
      <c r="O19" s="52"/>
      <c r="P19" s="52"/>
      <c r="Q19" s="52"/>
      <c r="S19" s="258"/>
      <c r="U19" s="259"/>
      <c r="X19" s="153"/>
      <c r="Y19" s="154"/>
      <c r="Z19" s="59"/>
      <c r="AA19" s="59"/>
      <c r="AB19" s="59" t="s">
        <v>125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2"/>
      <c r="U20" s="463"/>
      <c r="V20" s="404"/>
      <c r="X20" s="153"/>
      <c r="Y20" s="154"/>
      <c r="Z20" s="59"/>
      <c r="AA20" s="59"/>
      <c r="AB20" s="59"/>
      <c r="AD20" s="59"/>
      <c r="AE20" s="59"/>
    </row>
    <row r="21" spans="1:37" s="2" customFormat="1" ht="12" x14ac:dyDescent="0.2">
      <c r="A21" s="306">
        <f>D1</f>
        <v>45657</v>
      </c>
      <c r="B21" s="265"/>
      <c r="C21" s="82">
        <v>45292</v>
      </c>
      <c r="D21" s="82">
        <v>45323</v>
      </c>
      <c r="E21" s="82">
        <v>45352</v>
      </c>
      <c r="F21" s="82">
        <v>45383</v>
      </c>
      <c r="G21" s="82">
        <v>45413</v>
      </c>
      <c r="H21" s="69">
        <v>45444</v>
      </c>
      <c r="I21" s="306">
        <f t="shared" ref="I21:I52" si="0">A21</f>
        <v>45657</v>
      </c>
      <c r="J21" s="265"/>
      <c r="K21" s="82">
        <v>45474</v>
      </c>
      <c r="L21" s="82">
        <v>45505</v>
      </c>
      <c r="M21" s="82">
        <v>45536</v>
      </c>
      <c r="N21" s="82">
        <v>45566</v>
      </c>
      <c r="O21" s="82">
        <v>45597</v>
      </c>
      <c r="P21" s="69">
        <v>45627</v>
      </c>
      <c r="Q21" s="97" t="s">
        <v>126</v>
      </c>
      <c r="S21" s="461"/>
      <c r="T21" s="462"/>
      <c r="U21" s="463"/>
      <c r="V21" s="404"/>
      <c r="W21" s="2">
        <f>IF(S20="Hinweis: Wenn der AHV Freibetrag nicht überschritten wird, muss ein Lohnausweis erstellt werden!",1,IF(S20=0,0,5))</f>
        <v>0</v>
      </c>
      <c r="X21" s="153"/>
      <c r="Y21" s="154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07" t="str">
        <f>IF($C$16="Salaire horaire","",IF(C16="à choisir","","Salaire mensuel"))</f>
        <v/>
      </c>
      <c r="B22" s="266" t="str">
        <f>IF(A22="Salaire mensuel","CHF"," ")</f>
        <v xml:space="preserve"> </v>
      </c>
      <c r="C22" s="281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1">
        <f t="shared" si="1"/>
        <v>0</v>
      </c>
      <c r="E22" s="281">
        <f t="shared" si="1"/>
        <v>0</v>
      </c>
      <c r="F22" s="281">
        <f t="shared" si="1"/>
        <v>0</v>
      </c>
      <c r="G22" s="281">
        <f t="shared" si="1"/>
        <v>0</v>
      </c>
      <c r="H22" s="282">
        <f t="shared" si="1"/>
        <v>0</v>
      </c>
      <c r="I22" s="308" t="str">
        <f t="shared" si="0"/>
        <v/>
      </c>
      <c r="J22" s="266" t="str">
        <f>IF(I22="Salaire mensuel","CHF"," ")</f>
        <v xml:space="preserve"> </v>
      </c>
      <c r="K22" s="281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2">
        <f t="shared" si="2"/>
        <v>0</v>
      </c>
      <c r="Q22" s="298">
        <f t="shared" ref="Q22:Q37" si="3">ROUND((SUM(C22:H22)+SUM(K22:P22))*20,0)/20</f>
        <v>0</v>
      </c>
      <c r="S22" s="461"/>
      <c r="T22" s="462"/>
      <c r="U22" s="463"/>
      <c r="V22" s="404"/>
      <c r="X22" s="153"/>
      <c r="Y22" s="154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07" t="str">
        <f>IF($C$16="Salaire horaire","",(IF($C$17="oui","13. Salaire mensuel","")))</f>
        <v/>
      </c>
      <c r="B23" s="266" t="str">
        <f>IF(A23="13. Salaire mensuel","CHF"," ")</f>
        <v xml:space="preserve"> </v>
      </c>
      <c r="C23" s="281">
        <f>IF(OR($C$16="Salaire horaire",$C$16="à choisir"),0,(IF($C$17="oui",(C$22+C32+C33)/12,"")))</f>
        <v>0</v>
      </c>
      <c r="D23" s="283">
        <f t="shared" ref="D23:H23" si="4">IF(OR($C$16="Salaire horaire",$C$16="à choisir"),0,(IF($C$17="oui",(D$22+D32+D33)/12,"")))</f>
        <v>0</v>
      </c>
      <c r="E23" s="283">
        <f t="shared" si="4"/>
        <v>0</v>
      </c>
      <c r="F23" s="283">
        <f t="shared" si="4"/>
        <v>0</v>
      </c>
      <c r="G23" s="283">
        <f t="shared" si="4"/>
        <v>0</v>
      </c>
      <c r="H23" s="282">
        <f t="shared" si="4"/>
        <v>0</v>
      </c>
      <c r="I23" s="308" t="str">
        <f t="shared" si="0"/>
        <v/>
      </c>
      <c r="J23" s="266" t="str">
        <f>IF(I23="13. Salaire mensuel","CHF"," ")</f>
        <v xml:space="preserve"> </v>
      </c>
      <c r="K23" s="283">
        <f t="shared" ref="K23:P23" si="5">IF(OR($C$16="Salaire horaire",$C$16="à choisir"),0,(IF($C$17="oui",(K$22+K32+K33)/12,"")))</f>
        <v>0</v>
      </c>
      <c r="L23" s="283">
        <f t="shared" si="5"/>
        <v>0</v>
      </c>
      <c r="M23" s="283">
        <f t="shared" si="5"/>
        <v>0</v>
      </c>
      <c r="N23" s="299">
        <f t="shared" si="5"/>
        <v>0</v>
      </c>
      <c r="O23" s="283">
        <f t="shared" si="5"/>
        <v>0</v>
      </c>
      <c r="P23" s="282">
        <f t="shared" si="5"/>
        <v>0</v>
      </c>
      <c r="Q23" s="236">
        <f t="shared" si="3"/>
        <v>0</v>
      </c>
      <c r="S23" s="258"/>
      <c r="U23" s="259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0" t="str">
        <f>IF(G11="oui","Nombre d'heures 
de garde","")</f>
        <v/>
      </c>
      <c r="B24" s="369" t="str">
        <f>IF(A24="Nombre d'heures 
de garde","h"," ")</f>
        <v xml:space="preserve"> </v>
      </c>
      <c r="C24" s="283"/>
      <c r="D24" s="283"/>
      <c r="E24" s="283"/>
      <c r="F24" s="283"/>
      <c r="G24" s="283"/>
      <c r="H24" s="282"/>
      <c r="I24" s="370" t="str">
        <f t="shared" si="0"/>
        <v/>
      </c>
      <c r="J24" s="369" t="str">
        <f>B24</f>
        <v xml:space="preserve"> </v>
      </c>
      <c r="K24" s="283"/>
      <c r="L24" s="283"/>
      <c r="M24" s="283"/>
      <c r="N24" s="283"/>
      <c r="O24" s="283"/>
      <c r="P24" s="282"/>
      <c r="Q24" s="300">
        <f t="shared" si="3"/>
        <v>0</v>
      </c>
      <c r="S24" s="461">
        <f>IF(OR(AND(Z6="simplifiée",'PA 1'!Z6="simplifiée",'PA 3'!Z6="simplifiée",'PA 2'!Z6="simplifiée",'PA 5'!Z6="simplifiée",'PA 6'!Z6="simplifiée",'PA 7'!Z6="simplifiée",'PA 8'!Z6="simplifiée",'PA 9'!Z6="simplifiée"),(AND(Z7="ordinaire",'PA 1'!Z7="ordinaire",'PA 3'!Z7="ordinaire",'PA 2'!Z7="ordinaire",'PA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62"/>
      <c r="U24" s="463"/>
      <c r="V24" s="404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0" t="str">
        <f>IF(AND(C16="Salaire mensuel",G12="oui"),"Nombre d'engagements de nuit",IF(P10&gt;0.1,"Nombre d'engagements de nuit",""))</f>
        <v/>
      </c>
      <c r="B25" s="266" t="str">
        <f>IF(A25="Nombre d'engagements de nuit","Nb."," ")</f>
        <v xml:space="preserve"> </v>
      </c>
      <c r="C25" s="284"/>
      <c r="D25" s="284"/>
      <c r="E25" s="284"/>
      <c r="F25" s="284"/>
      <c r="G25" s="284"/>
      <c r="H25" s="285"/>
      <c r="I25" s="370" t="str">
        <f t="shared" si="0"/>
        <v/>
      </c>
      <c r="J25" s="266" t="str">
        <f>B25</f>
        <v xml:space="preserve"> </v>
      </c>
      <c r="K25" s="284"/>
      <c r="L25" s="284"/>
      <c r="M25" s="284"/>
      <c r="N25" s="284"/>
      <c r="O25" s="284"/>
      <c r="P25" s="301"/>
      <c r="Q25" s="298">
        <f t="shared" si="3"/>
        <v>0</v>
      </c>
      <c r="R25" s="76"/>
      <c r="S25" s="461"/>
      <c r="T25" s="462"/>
      <c r="U25" s="463"/>
      <c r="V25" s="404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08" t="str">
        <f>IF(AND($C$16="Salaire mensuel",$G$12="oui"),"Nombre d'heures",IF(C16="Salaire horaire",IF(G10="oui","Nombre d'heures I","Nombre d'heures"),""))</f>
        <v/>
      </c>
      <c r="B26" s="267" t="str">
        <f>IF(OR(A26="Nombre d'heures Standard",A26="Nombre d'heures",A26="Nombre d'heures I"),"h"," ")</f>
        <v xml:space="preserve"> </v>
      </c>
      <c r="C26" s="283"/>
      <c r="D26" s="283"/>
      <c r="E26" s="283"/>
      <c r="F26" s="283"/>
      <c r="G26" s="283"/>
      <c r="H26" s="282"/>
      <c r="I26" s="308" t="str">
        <f t="shared" si="0"/>
        <v/>
      </c>
      <c r="J26" s="267" t="str">
        <f>IF(OR(I26="Nombre d'heures Standard",I26="Nombre d'heures",I26="Nombre d'heures I"),"h"," ")</f>
        <v xml:space="preserve"> </v>
      </c>
      <c r="K26" s="283"/>
      <c r="L26" s="283"/>
      <c r="M26" s="283"/>
      <c r="N26" s="283"/>
      <c r="O26" s="283"/>
      <c r="P26" s="282"/>
      <c r="Q26" s="300">
        <f t="shared" si="3"/>
        <v>0</v>
      </c>
      <c r="R26" s="76"/>
      <c r="S26" s="461"/>
      <c r="T26" s="462"/>
      <c r="U26" s="463"/>
      <c r="V26" s="404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08" t="str">
        <f>IF($C$16="Salaire horaire",IF(G10="oui","Salaire horaire I","Salaire horaire"),"")</f>
        <v/>
      </c>
      <c r="B27" s="266" t="str">
        <f>IF(OR(A27="Salaire horaire Standard",A27="Salaire horaire",A27="Salaire horaire I"),"CHF"," ")</f>
        <v xml:space="preserve"> </v>
      </c>
      <c r="C27" s="233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3" t="str">
        <f t="shared" si="6"/>
        <v/>
      </c>
      <c r="E27" s="233" t="str">
        <f t="shared" si="6"/>
        <v/>
      </c>
      <c r="F27" s="233" t="str">
        <f t="shared" si="6"/>
        <v/>
      </c>
      <c r="G27" s="233" t="str">
        <f t="shared" si="6"/>
        <v/>
      </c>
      <c r="H27" s="234" t="str">
        <f t="shared" si="6"/>
        <v/>
      </c>
      <c r="I27" s="308" t="str">
        <f t="shared" si="0"/>
        <v/>
      </c>
      <c r="J27" s="266" t="str">
        <f>IF(OR(I27="Salaire horaire Standard",I27="Salaire horaire",I27="Salaire horaire I"),"CHF"," ")</f>
        <v xml:space="preserve"> </v>
      </c>
      <c r="K27" s="233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3" t="str">
        <f t="shared" si="7"/>
        <v/>
      </c>
      <c r="M27" s="233" t="str">
        <f t="shared" si="7"/>
        <v/>
      </c>
      <c r="N27" s="233" t="str">
        <f t="shared" si="7"/>
        <v/>
      </c>
      <c r="O27" s="233" t="str">
        <f t="shared" si="7"/>
        <v/>
      </c>
      <c r="P27" s="234" t="str">
        <f t="shared" si="7"/>
        <v/>
      </c>
      <c r="Q27" s="300">
        <f t="shared" si="3"/>
        <v>0</v>
      </c>
      <c r="R27" s="76"/>
      <c r="S27" s="258"/>
      <c r="T27" s="2"/>
      <c r="U27" s="259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08" t="str">
        <f>IF(G10="oui","Nombre d'heures II","")</f>
        <v/>
      </c>
      <c r="B28" s="267" t="str">
        <f>IF(OR(A28="Nombre d'heures Quali B",A28="Nombre d'heures II"),"h"," ")</f>
        <v xml:space="preserve"> </v>
      </c>
      <c r="C28" s="283"/>
      <c r="D28" s="283"/>
      <c r="E28" s="283"/>
      <c r="F28" s="283"/>
      <c r="G28" s="283"/>
      <c r="H28" s="282"/>
      <c r="I28" s="308" t="str">
        <f t="shared" si="0"/>
        <v/>
      </c>
      <c r="J28" s="267" t="str">
        <f>IF(OR(I28="Nombre d'heures Quali B",I28="Nombre d'heures II"),"h"," ")</f>
        <v xml:space="preserve"> </v>
      </c>
      <c r="K28" s="283"/>
      <c r="L28" s="283"/>
      <c r="M28" s="283"/>
      <c r="N28" s="299"/>
      <c r="O28" s="283"/>
      <c r="P28" s="282"/>
      <c r="Q28" s="300">
        <f t="shared" si="3"/>
        <v>0</v>
      </c>
      <c r="R28" s="78"/>
      <c r="S28" s="461">
        <f>IF(AND(AC6="oui",(G12="oui")),"ATTENTION: le salaire des proches ne doit pas réglé au contributin d'assistance AI",0)</f>
        <v>0</v>
      </c>
      <c r="T28" s="462"/>
      <c r="U28" s="463"/>
      <c r="V28" s="404"/>
      <c r="W28" s="78"/>
      <c r="X28" s="101"/>
      <c r="Y28" s="98"/>
    </row>
    <row r="29" spans="1:37" s="6" customFormat="1" x14ac:dyDescent="0.2">
      <c r="A29" s="308" t="str">
        <f>IF(G10="oui","Salaire horaire II","")</f>
        <v/>
      </c>
      <c r="B29" s="266" t="str">
        <f>IF(OR(A29="Salaire horaire Quali B",A29="Salaire horaire II"),"CHF"," ")</f>
        <v xml:space="preserve"> </v>
      </c>
      <c r="C29" s="233" t="str">
        <f t="shared" ref="C29:H29" si="8">IF($C$16="Salaire horaire",(IF(OR((DATEDIF($F$7,C21,"Y")&lt;20),(DATEDIF($F$7,C21,"Y")&gt;49)),$M$13/110.64%*(C28),$M$13/108.33%*(C28))),"")</f>
        <v/>
      </c>
      <c r="D29" s="233" t="str">
        <f t="shared" si="8"/>
        <v/>
      </c>
      <c r="E29" s="233" t="str">
        <f t="shared" si="8"/>
        <v/>
      </c>
      <c r="F29" s="233" t="str">
        <f t="shared" si="8"/>
        <v/>
      </c>
      <c r="G29" s="233" t="str">
        <f t="shared" si="8"/>
        <v/>
      </c>
      <c r="H29" s="234" t="str">
        <f t="shared" si="8"/>
        <v/>
      </c>
      <c r="I29" s="308" t="str">
        <f t="shared" si="0"/>
        <v/>
      </c>
      <c r="J29" s="266" t="str">
        <f>IF(OR(I29="Salaire horaire Quali B",I29="Salaire horaire II"),"CHF"," ")</f>
        <v xml:space="preserve"> </v>
      </c>
      <c r="K29" s="233" t="str">
        <f t="shared" ref="K29:P29" si="9">IF($C$16="Salaire horaire",(IF(OR((DATEDIF($F$7,K21,"Y")&lt;20),(DATEDIF($F$7,K21,"Y")&gt;49)),$M$13/110.64%*(K28),$M$13/108.33%*(K28))),"")</f>
        <v/>
      </c>
      <c r="L29" s="233" t="str">
        <f t="shared" si="9"/>
        <v/>
      </c>
      <c r="M29" s="233" t="str">
        <f t="shared" si="9"/>
        <v/>
      </c>
      <c r="N29" s="233" t="str">
        <f t="shared" si="9"/>
        <v/>
      </c>
      <c r="O29" s="233" t="str">
        <f t="shared" si="9"/>
        <v/>
      </c>
      <c r="P29" s="234" t="str">
        <f t="shared" si="9"/>
        <v/>
      </c>
      <c r="Q29" s="300">
        <f t="shared" si="3"/>
        <v>0</v>
      </c>
      <c r="R29" s="65"/>
      <c r="S29" s="461"/>
      <c r="T29" s="462"/>
      <c r="U29" s="463"/>
      <c r="V29" s="404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08" t="str">
        <f>IF($C$16="Salaire horaire","Supplément de vacances","")</f>
        <v/>
      </c>
      <c r="B30" s="266" t="str">
        <f>IF(A30="Supplément de vacances","CHF"," ")</f>
        <v xml:space="preserve"> </v>
      </c>
      <c r="C30" s="233">
        <f t="shared" ref="C30:H30" si="10">IF($C$16="Salaire horaire",(ROUND(IF(OR((DATEDIF($F$7,C$21,"Y")&lt;20),(DATEDIF($F$7,C$21,"Y")&gt;49)),(C$27+C$29)*10.64%,(C$27+C$29)*8.33%),2)),)</f>
        <v>0</v>
      </c>
      <c r="D30" s="233">
        <f t="shared" si="10"/>
        <v>0</v>
      </c>
      <c r="E30" s="233">
        <f t="shared" si="10"/>
        <v>0</v>
      </c>
      <c r="F30" s="233">
        <f t="shared" si="10"/>
        <v>0</v>
      </c>
      <c r="G30" s="233">
        <f t="shared" si="10"/>
        <v>0</v>
      </c>
      <c r="H30" s="234">
        <f t="shared" si="10"/>
        <v>0</v>
      </c>
      <c r="I30" s="308" t="str">
        <f t="shared" si="0"/>
        <v/>
      </c>
      <c r="J30" s="266" t="str">
        <f>IF(I30="Supplément de vacances","CHF"," ")</f>
        <v xml:space="preserve"> </v>
      </c>
      <c r="K30" s="233">
        <f t="shared" ref="K30:P30" si="11">IF($C$16="Salaire horaire",(ROUND(IF(OR((DATEDIF($F$7,K$21,"Y")&lt;20),(DATEDIF($F$7,K$21,"Y")&gt;49)),(K$27+K$29)*10.64%,(K$27+K$29)*8.33%),2)),)</f>
        <v>0</v>
      </c>
      <c r="L30" s="233">
        <f t="shared" si="11"/>
        <v>0</v>
      </c>
      <c r="M30" s="233">
        <f t="shared" si="11"/>
        <v>0</v>
      </c>
      <c r="N30" s="233">
        <f t="shared" si="11"/>
        <v>0</v>
      </c>
      <c r="O30" s="233">
        <f t="shared" si="11"/>
        <v>0</v>
      </c>
      <c r="P30" s="234">
        <f t="shared" si="11"/>
        <v>0</v>
      </c>
      <c r="Q30" s="300">
        <f t="shared" si="3"/>
        <v>0</v>
      </c>
      <c r="R30" s="65"/>
      <c r="S30" s="461"/>
      <c r="T30" s="462"/>
      <c r="U30" s="463"/>
      <c r="V30" s="404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09" t="s">
        <v>127</v>
      </c>
      <c r="B31" s="267" t="s">
        <v>128</v>
      </c>
      <c r="C31" s="412"/>
      <c r="D31" s="413"/>
      <c r="E31" s="413"/>
      <c r="F31" s="413"/>
      <c r="G31" s="413"/>
      <c r="H31" s="414"/>
      <c r="I31" s="309" t="str">
        <f t="shared" si="0"/>
        <v>Repas &amp; logement</v>
      </c>
      <c r="J31" s="267" t="s">
        <v>128</v>
      </c>
      <c r="K31" s="412"/>
      <c r="L31" s="412"/>
      <c r="M31" s="412"/>
      <c r="N31" s="412"/>
      <c r="O31" s="412"/>
      <c r="P31" s="414"/>
      <c r="Q31" s="83">
        <f t="shared" si="3"/>
        <v>0</v>
      </c>
      <c r="R31" s="65"/>
      <c r="S31" s="457">
        <f>IF(AND(M7+M12&gt;8,T11=0),"Remarque: à partir de 8 heures de travail effectives par semaine, l’employé doit avoir souscrit une assurance-accidents non professionnels!",0)</f>
        <v>0</v>
      </c>
      <c r="T31" s="458"/>
      <c r="U31" s="459"/>
      <c r="V31" s="403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09" t="s">
        <v>129</v>
      </c>
      <c r="B32" s="268" t="s">
        <v>128</v>
      </c>
      <c r="C32" s="412"/>
      <c r="D32" s="413"/>
      <c r="E32" s="413"/>
      <c r="F32" s="413"/>
      <c r="G32" s="413"/>
      <c r="H32" s="415"/>
      <c r="I32" s="309" t="str">
        <f t="shared" si="0"/>
        <v>Oblig. de verser le salaire (art. 324a CO) (soumis à l'AVS)</v>
      </c>
      <c r="J32" s="268" t="s">
        <v>128</v>
      </c>
      <c r="K32" s="413"/>
      <c r="L32" s="413"/>
      <c r="M32" s="413"/>
      <c r="N32" s="416"/>
      <c r="O32" s="413"/>
      <c r="P32" s="415"/>
      <c r="Q32" s="70">
        <f t="shared" si="3"/>
        <v>0</v>
      </c>
      <c r="R32" s="65"/>
      <c r="S32" s="457"/>
      <c r="T32" s="458"/>
      <c r="U32" s="459"/>
      <c r="V32" s="403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09" t="s">
        <v>130</v>
      </c>
      <c r="B33" s="268" t="s">
        <v>128</v>
      </c>
      <c r="C33" s="412"/>
      <c r="D33" s="413"/>
      <c r="E33" s="413"/>
      <c r="F33" s="413"/>
      <c r="G33" s="413"/>
      <c r="H33" s="415"/>
      <c r="I33" s="309" t="str">
        <f t="shared" si="0"/>
        <v>Oblig. de verser le salaire
(soumis à l'AVS)</v>
      </c>
      <c r="J33" s="268" t="s">
        <v>128</v>
      </c>
      <c r="K33" s="413"/>
      <c r="L33" s="413"/>
      <c r="M33" s="413"/>
      <c r="N33" s="416"/>
      <c r="O33" s="413"/>
      <c r="P33" s="415"/>
      <c r="Q33" s="70">
        <f t="shared" si="3"/>
        <v>0</v>
      </c>
      <c r="R33" s="65"/>
      <c r="S33" s="457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8"/>
      <c r="U33" s="459"/>
      <c r="V33" s="403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36" x14ac:dyDescent="0.2">
      <c r="A34" s="310" t="s">
        <v>131</v>
      </c>
      <c r="B34" s="269" t="s">
        <v>128</v>
      </c>
      <c r="C34" s="412"/>
      <c r="D34" s="413"/>
      <c r="E34" s="413"/>
      <c r="F34" s="413"/>
      <c r="G34" s="413"/>
      <c r="H34" s="415"/>
      <c r="I34" s="310" t="str">
        <f t="shared" si="0"/>
        <v>Allocation maternité / militaire (soumis à l'AVS)</v>
      </c>
      <c r="J34" s="269" t="s">
        <v>128</v>
      </c>
      <c r="K34" s="413"/>
      <c r="L34" s="413"/>
      <c r="M34" s="413"/>
      <c r="N34" s="416"/>
      <c r="O34" s="413"/>
      <c r="P34" s="415"/>
      <c r="Q34" s="70">
        <f t="shared" si="3"/>
        <v>0</v>
      </c>
      <c r="R34" s="57"/>
      <c r="S34" s="457"/>
      <c r="T34" s="458"/>
      <c r="U34" s="459"/>
      <c r="V34" s="403"/>
      <c r="W34" s="2">
        <f>IF(S33&gt;1,1,0)</f>
        <v>0</v>
      </c>
      <c r="X34" s="101"/>
      <c r="Y34" s="110">
        <f t="shared" ref="Y34:AD34" si="12">C21</f>
        <v>45292</v>
      </c>
      <c r="Z34" s="110">
        <f t="shared" si="12"/>
        <v>45323</v>
      </c>
      <c r="AA34" s="110">
        <f t="shared" si="12"/>
        <v>45352</v>
      </c>
      <c r="AB34" s="110">
        <f t="shared" si="12"/>
        <v>45383</v>
      </c>
      <c r="AC34" s="110">
        <f t="shared" si="12"/>
        <v>45413</v>
      </c>
      <c r="AD34" s="110">
        <f t="shared" si="12"/>
        <v>45444</v>
      </c>
      <c r="AE34" s="110">
        <f t="shared" ref="AE34:AJ34" si="13">K21</f>
        <v>45474</v>
      </c>
      <c r="AF34" s="110">
        <f t="shared" si="13"/>
        <v>45505</v>
      </c>
      <c r="AG34" s="110">
        <f t="shared" si="13"/>
        <v>45536</v>
      </c>
      <c r="AH34" s="110">
        <f t="shared" si="13"/>
        <v>45566</v>
      </c>
      <c r="AI34" s="110">
        <f t="shared" si="13"/>
        <v>45597</v>
      </c>
      <c r="AJ34" s="110">
        <f t="shared" si="13"/>
        <v>45627</v>
      </c>
    </row>
    <row r="35" spans="1:37" s="2" customFormat="1" ht="24" x14ac:dyDescent="0.2">
      <c r="A35" s="310" t="s">
        <v>132</v>
      </c>
      <c r="B35" s="269" t="s">
        <v>128</v>
      </c>
      <c r="C35" s="412"/>
      <c r="D35" s="413"/>
      <c r="E35" s="413"/>
      <c r="F35" s="413"/>
      <c r="G35" s="413"/>
      <c r="H35" s="415"/>
      <c r="I35" s="310" t="str">
        <f t="shared" si="0"/>
        <v>Indemnité d'assurance
(non soumis AVS)</v>
      </c>
      <c r="J35" s="269" t="s">
        <v>128</v>
      </c>
      <c r="K35" s="413"/>
      <c r="L35" s="413"/>
      <c r="M35" s="413"/>
      <c r="N35" s="416"/>
      <c r="O35" s="413"/>
      <c r="P35" s="415"/>
      <c r="Q35" s="70">
        <f t="shared" si="3"/>
        <v>0</v>
      </c>
      <c r="R35" s="57"/>
      <c r="S35" s="457"/>
      <c r="T35" s="458"/>
      <c r="U35" s="459"/>
      <c r="V35" s="403"/>
      <c r="W35" s="57"/>
      <c r="X35" s="101" t="s">
        <v>133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08" t="s">
        <v>134</v>
      </c>
      <c r="B36" s="267" t="s">
        <v>128</v>
      </c>
      <c r="C36" s="412"/>
      <c r="D36" s="413"/>
      <c r="E36" s="413"/>
      <c r="F36" s="413"/>
      <c r="G36" s="413"/>
      <c r="H36" s="415"/>
      <c r="I36" s="308" t="str">
        <f t="shared" si="0"/>
        <v>Allocations familiales</v>
      </c>
      <c r="J36" s="267" t="s">
        <v>128</v>
      </c>
      <c r="K36" s="413"/>
      <c r="L36" s="413"/>
      <c r="M36" s="413"/>
      <c r="N36" s="416"/>
      <c r="O36" s="413"/>
      <c r="P36" s="415"/>
      <c r="Q36" s="70">
        <f t="shared" si="3"/>
        <v>0</v>
      </c>
      <c r="R36" s="57"/>
      <c r="S36" s="457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8"/>
      <c r="U36" s="459"/>
      <c r="V36" s="403"/>
      <c r="W36" s="57"/>
      <c r="X36" s="105" t="s">
        <v>135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1" t="s">
        <v>136</v>
      </c>
      <c r="B37" s="270" t="s">
        <v>128</v>
      </c>
      <c r="C37" s="286">
        <f t="shared" ref="C37:H37" si="17">IF($C$16="Salaire horaire",SUM(C27,C29,C30,C31,C32,C33,C34,C35,C36),SUM(C22,C23,C30,C31,C32,C33,C34,C35,C36))</f>
        <v>0</v>
      </c>
      <c r="D37" s="286">
        <f t="shared" si="17"/>
        <v>0</v>
      </c>
      <c r="E37" s="286">
        <f t="shared" si="17"/>
        <v>0</v>
      </c>
      <c r="F37" s="286">
        <f t="shared" si="17"/>
        <v>0</v>
      </c>
      <c r="G37" s="286">
        <f t="shared" si="17"/>
        <v>0</v>
      </c>
      <c r="H37" s="238">
        <f t="shared" si="17"/>
        <v>0</v>
      </c>
      <c r="I37" s="311" t="str">
        <f t="shared" si="0"/>
        <v>Salaire brut</v>
      </c>
      <c r="J37" s="270" t="s">
        <v>128</v>
      </c>
      <c r="K37" s="286">
        <f t="shared" ref="K37:P37" si="18">IF($C$16="Salaire horaire",SUM(K27,K29,K30,K31,K32,K33,K34,K35,K36),SUM(K22,K23,K30,K31,K32,K33,K34,K35,K36))</f>
        <v>0</v>
      </c>
      <c r="L37" s="286">
        <f t="shared" si="18"/>
        <v>0</v>
      </c>
      <c r="M37" s="286">
        <f t="shared" si="18"/>
        <v>0</v>
      </c>
      <c r="N37" s="302">
        <f t="shared" si="18"/>
        <v>0</v>
      </c>
      <c r="O37" s="286">
        <f t="shared" si="18"/>
        <v>0</v>
      </c>
      <c r="P37" s="238">
        <f t="shared" si="18"/>
        <v>0</v>
      </c>
      <c r="Q37" s="238">
        <f t="shared" si="3"/>
        <v>0</v>
      </c>
      <c r="R37" s="57"/>
      <c r="S37" s="457"/>
      <c r="T37" s="458"/>
      <c r="U37" s="459"/>
      <c r="V37" s="403"/>
      <c r="W37" s="2">
        <f>IF(S36&gt;1,5,0)</f>
        <v>0</v>
      </c>
      <c r="X37" s="101" t="s">
        <v>137</v>
      </c>
      <c r="Y37" s="163">
        <f t="shared" ref="Y37:AD37" si="19">IF(Y35=0,0,IF($C$16="Salaire horaire",SUM(C27,C29,C30,C31,C32,C33,C34),SUM(C22,C23,C30,C31,C32,C33,C34)))</f>
        <v>0</v>
      </c>
      <c r="Z37" s="163">
        <f t="shared" si="19"/>
        <v>0</v>
      </c>
      <c r="AA37" s="163">
        <f t="shared" si="19"/>
        <v>0</v>
      </c>
      <c r="AB37" s="163">
        <f t="shared" si="19"/>
        <v>0</v>
      </c>
      <c r="AC37" s="163">
        <f t="shared" si="19"/>
        <v>0</v>
      </c>
      <c r="AD37" s="163">
        <f t="shared" si="19"/>
        <v>0</v>
      </c>
      <c r="AE37" s="163">
        <f t="shared" ref="AE37:AJ37" si="20">IF(AE35=0,0,IF($C$16="Salaire horaire",SUM(K27,K29,K30,K31,K32,K33,K34),SUM(K22,K23,K30,K31,K32,K33,K34)))</f>
        <v>0</v>
      </c>
      <c r="AF37" s="163">
        <f t="shared" si="20"/>
        <v>0</v>
      </c>
      <c r="AG37" s="163">
        <f t="shared" si="20"/>
        <v>0</v>
      </c>
      <c r="AH37" s="163">
        <f t="shared" si="20"/>
        <v>0</v>
      </c>
      <c r="AI37" s="163">
        <f t="shared" si="20"/>
        <v>0</v>
      </c>
      <c r="AJ37" s="163">
        <f t="shared" si="20"/>
        <v>0</v>
      </c>
    </row>
    <row r="38" spans="1:37" s="2" customFormat="1" ht="12" x14ac:dyDescent="0.2">
      <c r="A38" s="308" t="s">
        <v>138</v>
      </c>
      <c r="B38" s="271" t="s">
        <v>128</v>
      </c>
      <c r="C38" s="430">
        <f t="shared" ref="C38:H38" si="21">Y42</f>
        <v>0</v>
      </c>
      <c r="D38" s="430">
        <f t="shared" si="21"/>
        <v>0</v>
      </c>
      <c r="E38" s="430">
        <f t="shared" si="21"/>
        <v>0</v>
      </c>
      <c r="F38" s="430">
        <f t="shared" si="21"/>
        <v>0</v>
      </c>
      <c r="G38" s="430">
        <f t="shared" si="21"/>
        <v>0</v>
      </c>
      <c r="H38" s="431">
        <f t="shared" si="21"/>
        <v>0</v>
      </c>
      <c r="I38" s="308" t="str">
        <f t="shared" si="0"/>
        <v>Franchise rentier AVS</v>
      </c>
      <c r="J38" s="271" t="s">
        <v>128</v>
      </c>
      <c r="K38" s="430">
        <f t="shared" ref="K38:P38" si="22">AE42</f>
        <v>0</v>
      </c>
      <c r="L38" s="430">
        <f t="shared" si="22"/>
        <v>0</v>
      </c>
      <c r="M38" s="430">
        <f t="shared" si="22"/>
        <v>0</v>
      </c>
      <c r="N38" s="430">
        <f t="shared" si="22"/>
        <v>0</v>
      </c>
      <c r="O38" s="430">
        <f t="shared" si="22"/>
        <v>0</v>
      </c>
      <c r="P38" s="432">
        <f t="shared" si="22"/>
        <v>0</v>
      </c>
      <c r="Q38" s="303">
        <f>SUM(C38:H38)+SUM(K38:P38)</f>
        <v>0</v>
      </c>
      <c r="R38" s="57"/>
      <c r="S38" s="457"/>
      <c r="T38" s="458"/>
      <c r="U38" s="459"/>
      <c r="V38" s="403"/>
      <c r="W38" s="57"/>
      <c r="X38" s="2" t="s">
        <v>139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1" t="s">
        <v>140</v>
      </c>
      <c r="B39" s="270" t="s">
        <v>128</v>
      </c>
      <c r="C39" s="286">
        <f t="shared" ref="C39:H39" si="24">C37-C36-C35-C38</f>
        <v>0</v>
      </c>
      <c r="D39" s="286">
        <f t="shared" si="24"/>
        <v>0</v>
      </c>
      <c r="E39" s="286">
        <f t="shared" si="24"/>
        <v>0</v>
      </c>
      <c r="F39" s="286">
        <f t="shared" si="24"/>
        <v>0</v>
      </c>
      <c r="G39" s="286">
        <f t="shared" si="24"/>
        <v>0</v>
      </c>
      <c r="H39" s="238">
        <f t="shared" si="24"/>
        <v>0</v>
      </c>
      <c r="I39" s="311" t="str">
        <f t="shared" si="0"/>
        <v>AVS montant brut</v>
      </c>
      <c r="J39" s="270" t="s">
        <v>128</v>
      </c>
      <c r="K39" s="286">
        <f t="shared" ref="K39:P39" si="25">K37-K36-K35-K38</f>
        <v>0</v>
      </c>
      <c r="L39" s="286">
        <f t="shared" si="25"/>
        <v>0</v>
      </c>
      <c r="M39" s="286">
        <f t="shared" si="25"/>
        <v>0</v>
      </c>
      <c r="N39" s="302">
        <f t="shared" si="25"/>
        <v>0</v>
      </c>
      <c r="O39" s="286">
        <f t="shared" si="25"/>
        <v>0</v>
      </c>
      <c r="P39" s="238">
        <f t="shared" si="25"/>
        <v>0</v>
      </c>
      <c r="Q39" s="238">
        <f>ROUND((SUM(C39:H39)+SUM(K39:P39))*20,0)/20</f>
        <v>0</v>
      </c>
      <c r="R39" s="79"/>
      <c r="S39" s="457"/>
      <c r="T39" s="458"/>
      <c r="U39" s="459"/>
      <c r="V39" s="403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08" t="str">
        <f>CONCATENATE("AVS/AI/APG ",T8*100,"%")</f>
        <v>AVS/AI/APG 0%</v>
      </c>
      <c r="B40" s="272" t="s">
        <v>128</v>
      </c>
      <c r="C40" s="230">
        <f t="shared" ref="C40:H40" si="26">C$39*-$T$8</f>
        <v>0</v>
      </c>
      <c r="D40" s="230">
        <f t="shared" si="26"/>
        <v>0</v>
      </c>
      <c r="E40" s="230">
        <f t="shared" si="26"/>
        <v>0</v>
      </c>
      <c r="F40" s="230">
        <f t="shared" si="26"/>
        <v>0</v>
      </c>
      <c r="G40" s="230">
        <f t="shared" si="26"/>
        <v>0</v>
      </c>
      <c r="H40" s="231">
        <f t="shared" si="26"/>
        <v>0</v>
      </c>
      <c r="I40" s="322" t="str">
        <f t="shared" si="0"/>
        <v>AVS/AI/APG 0%</v>
      </c>
      <c r="J40" s="272" t="s">
        <v>128</v>
      </c>
      <c r="K40" s="230">
        <f t="shared" ref="K40:P40" si="27">K$39*-$T$8</f>
        <v>0</v>
      </c>
      <c r="L40" s="230">
        <f t="shared" si="27"/>
        <v>0</v>
      </c>
      <c r="M40" s="230">
        <f t="shared" si="27"/>
        <v>0</v>
      </c>
      <c r="N40" s="232">
        <f t="shared" si="27"/>
        <v>0</v>
      </c>
      <c r="O40" s="230">
        <f t="shared" si="27"/>
        <v>0</v>
      </c>
      <c r="P40" s="231">
        <f t="shared" si="27"/>
        <v>0</v>
      </c>
      <c r="Q40" s="235">
        <f t="shared" ref="Q40:Q48" si="28">ROUND((SUM(C40:H40)+SUM(K40:P40))*20,0)/20</f>
        <v>0</v>
      </c>
      <c r="R40" s="65"/>
      <c r="S40" s="474"/>
      <c r="T40" s="475"/>
      <c r="U40" s="476"/>
      <c r="V40" s="403"/>
      <c r="W40" s="65"/>
      <c r="X40" s="2" t="s">
        <v>141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08" t="str">
        <f>CONCATENATE("AC ",T9*100,"%")</f>
        <v>AC 0%</v>
      </c>
      <c r="B41" s="267" t="s">
        <v>128</v>
      </c>
      <c r="C41" s="233">
        <f t="shared" ref="C41:H41" si="30">C$39*(IF(DATEDIF($F$7,$D$1,"Y")&lt;18,0,IF(DATEDIF($F$7,C21,"Y")&gt;(IF($C$10="féminin",63,64)),0,-1.1%)))</f>
        <v>0</v>
      </c>
      <c r="D41" s="233">
        <f t="shared" si="30"/>
        <v>0</v>
      </c>
      <c r="E41" s="233">
        <f t="shared" si="30"/>
        <v>0</v>
      </c>
      <c r="F41" s="233">
        <f t="shared" si="30"/>
        <v>0</v>
      </c>
      <c r="G41" s="233">
        <f t="shared" si="30"/>
        <v>0</v>
      </c>
      <c r="H41" s="234">
        <f t="shared" si="30"/>
        <v>0</v>
      </c>
      <c r="I41" s="322" t="str">
        <f t="shared" si="0"/>
        <v>AC 0%</v>
      </c>
      <c r="J41" s="267" t="s">
        <v>128</v>
      </c>
      <c r="K41" s="233">
        <f t="shared" ref="K41:P41" si="31">K$39*(IF(DATEDIF($F$7,$D$1,"Y")&lt;18,0,IF(DATEDIF($F$7,K21,"Y")&gt;(IF($C$10="féminin",63,64)),0,-1.1%)))</f>
        <v>0</v>
      </c>
      <c r="L41" s="233">
        <f t="shared" si="31"/>
        <v>0</v>
      </c>
      <c r="M41" s="233">
        <f t="shared" si="31"/>
        <v>0</v>
      </c>
      <c r="N41" s="232">
        <f t="shared" si="31"/>
        <v>0</v>
      </c>
      <c r="O41" s="233">
        <f t="shared" si="31"/>
        <v>0</v>
      </c>
      <c r="P41" s="234">
        <f t="shared" si="31"/>
        <v>0</v>
      </c>
      <c r="Q41" s="236">
        <f t="shared" si="28"/>
        <v>0</v>
      </c>
      <c r="R41" s="79"/>
      <c r="S41" s="472"/>
      <c r="T41" s="472"/>
      <c r="U41" s="472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08" t="str">
        <f>IF(T11&lt;0.01,"ANP",(CONCATENATE("ANP ",T11*100,"%")))</f>
        <v>ANP</v>
      </c>
      <c r="B42" s="267" t="s">
        <v>128</v>
      </c>
      <c r="C42" s="412">
        <f t="shared" ref="C42:H42" si="32">(C$37-C$34-C$35-C$36)*-$T$11</f>
        <v>0</v>
      </c>
      <c r="D42" s="412">
        <f t="shared" si="32"/>
        <v>0</v>
      </c>
      <c r="E42" s="412">
        <f t="shared" si="32"/>
        <v>0</v>
      </c>
      <c r="F42" s="412">
        <f t="shared" si="32"/>
        <v>0</v>
      </c>
      <c r="G42" s="412">
        <f t="shared" si="32"/>
        <v>0</v>
      </c>
      <c r="H42" s="414">
        <f t="shared" si="32"/>
        <v>0</v>
      </c>
      <c r="I42" s="322" t="str">
        <f t="shared" si="0"/>
        <v>ANP</v>
      </c>
      <c r="J42" s="267" t="s">
        <v>128</v>
      </c>
      <c r="K42" s="412">
        <f t="shared" ref="K42:P42" si="33">(K$37-K$34-K$35-K$36)*-$T$11</f>
        <v>0</v>
      </c>
      <c r="L42" s="412">
        <f t="shared" si="33"/>
        <v>0</v>
      </c>
      <c r="M42" s="412">
        <f t="shared" si="33"/>
        <v>0</v>
      </c>
      <c r="N42" s="416">
        <f t="shared" si="33"/>
        <v>0</v>
      </c>
      <c r="O42" s="412">
        <f t="shared" si="33"/>
        <v>0</v>
      </c>
      <c r="P42" s="414">
        <f t="shared" si="33"/>
        <v>0</v>
      </c>
      <c r="Q42" s="236">
        <f t="shared" si="28"/>
        <v>0</v>
      </c>
      <c r="R42" s="65"/>
      <c r="S42" s="473"/>
      <c r="T42" s="473"/>
      <c r="U42" s="473"/>
      <c r="V42" s="79"/>
      <c r="W42" s="2">
        <f>IF(S41&gt;1,1,0)</f>
        <v>0</v>
      </c>
      <c r="X42" s="2" t="s">
        <v>142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08" t="str">
        <f>IF(T13&lt;0.0000001,"IJM",(CONCATENATE("IJM ",T13*100,"%")))</f>
        <v>IJM</v>
      </c>
      <c r="B43" s="267" t="s">
        <v>128</v>
      </c>
      <c r="C43" s="412">
        <f t="shared" ref="C43:H43" si="35">(C$37-C$34-C$35-C$36)*-$T$13</f>
        <v>0</v>
      </c>
      <c r="D43" s="412">
        <f t="shared" si="35"/>
        <v>0</v>
      </c>
      <c r="E43" s="412">
        <f t="shared" si="35"/>
        <v>0</v>
      </c>
      <c r="F43" s="412">
        <f t="shared" si="35"/>
        <v>0</v>
      </c>
      <c r="G43" s="412">
        <f t="shared" si="35"/>
        <v>0</v>
      </c>
      <c r="H43" s="414">
        <f t="shared" si="35"/>
        <v>0</v>
      </c>
      <c r="I43" s="322" t="str">
        <f t="shared" si="0"/>
        <v>IJM</v>
      </c>
      <c r="J43" s="267" t="s">
        <v>128</v>
      </c>
      <c r="K43" s="412">
        <f t="shared" ref="K43:P43" si="36">(K$37-K$34-K$35-K$36)*-$T$13</f>
        <v>0</v>
      </c>
      <c r="L43" s="412">
        <f t="shared" si="36"/>
        <v>0</v>
      </c>
      <c r="M43" s="412">
        <f t="shared" si="36"/>
        <v>0</v>
      </c>
      <c r="N43" s="416">
        <f t="shared" si="36"/>
        <v>0</v>
      </c>
      <c r="O43" s="412">
        <f t="shared" si="36"/>
        <v>0</v>
      </c>
      <c r="P43" s="414">
        <f t="shared" si="36"/>
        <v>0</v>
      </c>
      <c r="Q43" s="236">
        <f t="shared" si="28"/>
        <v>0</v>
      </c>
      <c r="R43" s="65"/>
      <c r="S43" s="473"/>
      <c r="T43" s="473"/>
      <c r="U43" s="473"/>
      <c r="V43" s="65"/>
      <c r="W43" s="65"/>
      <c r="X43" s="101" t="s">
        <v>143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1">
        <f>MROUND(SUM(Y43:AJ43),0.05)</f>
        <v>0</v>
      </c>
    </row>
    <row r="44" spans="1:37" s="2" customFormat="1" ht="15" customHeight="1" x14ac:dyDescent="0.2">
      <c r="A44" s="308" t="str">
        <f>IF(T16&gt;0.01%,(CONCATENATE("LPP ",T16*100,"%")),IF(T15&lt;0.01,"LPP",(CONCATENATE("LPP ","CHF ",T15))))</f>
        <v>LPP</v>
      </c>
      <c r="B44" s="267" t="s">
        <v>128</v>
      </c>
      <c r="C44" s="412">
        <f t="shared" ref="C44:H44" si="39">IF(C39&lt;1,0,(IF(DATEDIF($F$7,$D$1,"Y")&lt;19,0,(IF(DATEDIF($F$7,C21,"Y")&gt;(IF($C$10="féminin",63,64)),0,IF($T$16&gt;0.1%,-$T$16*C39,-$T$15))))))</f>
        <v>0</v>
      </c>
      <c r="D44" s="412">
        <f t="shared" si="39"/>
        <v>0</v>
      </c>
      <c r="E44" s="412">
        <f t="shared" si="39"/>
        <v>0</v>
      </c>
      <c r="F44" s="412">
        <f t="shared" si="39"/>
        <v>0</v>
      </c>
      <c r="G44" s="412">
        <f t="shared" si="39"/>
        <v>0</v>
      </c>
      <c r="H44" s="414">
        <f t="shared" si="39"/>
        <v>0</v>
      </c>
      <c r="I44" s="322" t="str">
        <f t="shared" si="0"/>
        <v>LPP</v>
      </c>
      <c r="J44" s="267" t="s">
        <v>128</v>
      </c>
      <c r="K44" s="412">
        <f t="shared" ref="K44:P44" si="40">IF(K39&lt;1,0,(IF(DATEDIF($F$7,$D$1,"Y")&lt;19,0,(IF(DATEDIF($F$7,K21,"Y")&gt;(IF($C$10="féminin",63,64)),0,IF($T$16&gt;0.1%,-$T$16*K39,-$T$15))))))</f>
        <v>0</v>
      </c>
      <c r="L44" s="412">
        <f t="shared" si="40"/>
        <v>0</v>
      </c>
      <c r="M44" s="412">
        <f t="shared" si="40"/>
        <v>0</v>
      </c>
      <c r="N44" s="416">
        <f t="shared" si="40"/>
        <v>0</v>
      </c>
      <c r="O44" s="412">
        <f t="shared" si="40"/>
        <v>0</v>
      </c>
      <c r="P44" s="414">
        <f t="shared" si="40"/>
        <v>0</v>
      </c>
      <c r="Q44" s="236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08" t="str">
        <f>IF(G13="à choisir","",IF(OR(Y9&lt;5%,G13="ordinaire",)," ",(CONCATENATE("Impôt selon LTN ",Y9*100,"%"))))</f>
        <v/>
      </c>
      <c r="B45" s="266" t="str">
        <f>IF(A45="Impôt selon LTN 5%","CHF"," ")</f>
        <v xml:space="preserve"> </v>
      </c>
      <c r="C45" s="412">
        <f t="shared" ref="C45:H45" si="41">IF(C39+C38=0,0,IF(DATEDIF($F$7,C21,"Y")&lt;(IF($C$10="féminin",64,65)),C39*-$Y$9,IF(AND(C38&gt;1),(C39+C38)*-$Y$9,C39*-$Y$9)))</f>
        <v>0</v>
      </c>
      <c r="D45" s="412">
        <f t="shared" si="41"/>
        <v>0</v>
      </c>
      <c r="E45" s="412">
        <f t="shared" si="41"/>
        <v>0</v>
      </c>
      <c r="F45" s="412">
        <f t="shared" si="41"/>
        <v>0</v>
      </c>
      <c r="G45" s="412">
        <f t="shared" si="41"/>
        <v>0</v>
      </c>
      <c r="H45" s="414">
        <f t="shared" si="41"/>
        <v>0</v>
      </c>
      <c r="I45" s="308" t="str">
        <f t="shared" si="0"/>
        <v/>
      </c>
      <c r="J45" s="266" t="str">
        <f>IF(I45="Impôt selon LTN 5%","CHF"," ")</f>
        <v xml:space="preserve"> </v>
      </c>
      <c r="K45" s="412">
        <f t="shared" ref="K45:P45" si="42">IF(K39+K38=0,0,IF(DATEDIF($F$7,K21,"Y")&lt;(IF($C$10="féminin",64,65)),K39*-$Y$9,IF(AND(K38&gt;1),(K39+K38)*-$Y$9,K39*-$Y$9)))</f>
        <v>0</v>
      </c>
      <c r="L45" s="412">
        <f t="shared" si="42"/>
        <v>0</v>
      </c>
      <c r="M45" s="412">
        <f t="shared" si="42"/>
        <v>0</v>
      </c>
      <c r="N45" s="412">
        <f t="shared" si="42"/>
        <v>0</v>
      </c>
      <c r="O45" s="412">
        <f t="shared" si="42"/>
        <v>0</v>
      </c>
      <c r="P45" s="414">
        <f t="shared" si="42"/>
        <v>0</v>
      </c>
      <c r="Q45" s="300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08" t="str">
        <f>IF(G13="ordinaire","Impôt à la source","")</f>
        <v/>
      </c>
      <c r="B46" s="266" t="str">
        <f>IF(A46="QST","CHF"," ")</f>
        <v xml:space="preserve"> </v>
      </c>
      <c r="C46" s="412"/>
      <c r="D46" s="412"/>
      <c r="E46" s="412"/>
      <c r="F46" s="412"/>
      <c r="G46" s="412"/>
      <c r="H46" s="415"/>
      <c r="I46" s="322" t="str">
        <f t="shared" si="0"/>
        <v/>
      </c>
      <c r="J46" s="266" t="str">
        <f>IF(I46="QST","CHF"," ")</f>
        <v xml:space="preserve"> </v>
      </c>
      <c r="K46" s="413"/>
      <c r="L46" s="413"/>
      <c r="M46" s="413"/>
      <c r="N46" s="416"/>
      <c r="O46" s="413"/>
      <c r="P46" s="415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08" t="s">
        <v>144</v>
      </c>
      <c r="B47" s="267" t="s">
        <v>128</v>
      </c>
      <c r="C47" s="412"/>
      <c r="D47" s="413"/>
      <c r="E47" s="413"/>
      <c r="F47" s="413"/>
      <c r="G47" s="413"/>
      <c r="H47" s="415"/>
      <c r="I47" s="322" t="str">
        <f t="shared" si="0"/>
        <v>Frais effectifs</v>
      </c>
      <c r="J47" s="267" t="s">
        <v>128</v>
      </c>
      <c r="K47" s="413"/>
      <c r="L47" s="413"/>
      <c r="M47" s="413"/>
      <c r="N47" s="416"/>
      <c r="O47" s="413"/>
      <c r="P47" s="415"/>
      <c r="Q47" s="70">
        <f t="shared" si="28"/>
        <v>0</v>
      </c>
      <c r="R47" s="165"/>
      <c r="S47" s="65"/>
      <c r="T47" s="65"/>
      <c r="U47" s="65"/>
      <c r="V47" s="165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2" t="s">
        <v>127</v>
      </c>
      <c r="B48" s="271" t="s">
        <v>128</v>
      </c>
      <c r="C48" s="412">
        <f>-C31</f>
        <v>0</v>
      </c>
      <c r="D48" s="413">
        <f t="shared" ref="D48:H48" si="43">-D31</f>
        <v>0</v>
      </c>
      <c r="E48" s="413">
        <f t="shared" si="43"/>
        <v>0</v>
      </c>
      <c r="F48" s="413">
        <f t="shared" si="43"/>
        <v>0</v>
      </c>
      <c r="G48" s="413">
        <f t="shared" si="43"/>
        <v>0</v>
      </c>
      <c r="H48" s="415">
        <f t="shared" si="43"/>
        <v>0</v>
      </c>
      <c r="I48" s="323" t="str">
        <f t="shared" si="0"/>
        <v>Repas &amp; logement</v>
      </c>
      <c r="J48" s="271" t="s">
        <v>128</v>
      </c>
      <c r="K48" s="413">
        <f t="shared" ref="K48:P48" si="44">-K31</f>
        <v>0</v>
      </c>
      <c r="L48" s="413">
        <f t="shared" si="44"/>
        <v>0</v>
      </c>
      <c r="M48" s="413">
        <f t="shared" si="44"/>
        <v>0</v>
      </c>
      <c r="N48" s="416">
        <f t="shared" si="44"/>
        <v>0</v>
      </c>
      <c r="O48" s="413">
        <f t="shared" si="44"/>
        <v>0</v>
      </c>
      <c r="P48" s="415">
        <f t="shared" si="44"/>
        <v>0</v>
      </c>
      <c r="Q48" s="237">
        <f t="shared" si="28"/>
        <v>0</v>
      </c>
      <c r="R48" s="57"/>
      <c r="S48" s="165"/>
      <c r="T48" s="165"/>
      <c r="U48" s="165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29" t="s">
        <v>145</v>
      </c>
      <c r="B49" s="330" t="s">
        <v>128</v>
      </c>
      <c r="C49" s="325">
        <f>MROUND(C37+(SUM(C40:C46)+C47+C48),0.05)</f>
        <v>0</v>
      </c>
      <c r="D49" s="325">
        <f t="shared" ref="D49:H49" si="45">MROUND(D37+(SUM(D40:D46)+D47+D48),0.05)</f>
        <v>0</v>
      </c>
      <c r="E49" s="325">
        <f t="shared" si="45"/>
        <v>0</v>
      </c>
      <c r="F49" s="325">
        <f t="shared" si="45"/>
        <v>0</v>
      </c>
      <c r="G49" s="325">
        <f t="shared" si="45"/>
        <v>0</v>
      </c>
      <c r="H49" s="327">
        <f t="shared" si="45"/>
        <v>0</v>
      </c>
      <c r="I49" s="329" t="str">
        <f t="shared" si="0"/>
        <v>Salaire net</v>
      </c>
      <c r="J49" s="330" t="s">
        <v>128</v>
      </c>
      <c r="K49" s="325">
        <f t="shared" ref="K49:P49" si="46">MROUND(K37+(SUM(K40:K46)+K47+K48),0.05)</f>
        <v>0</v>
      </c>
      <c r="L49" s="325">
        <f t="shared" si="46"/>
        <v>0</v>
      </c>
      <c r="M49" s="325">
        <f t="shared" si="46"/>
        <v>0</v>
      </c>
      <c r="N49" s="325">
        <f t="shared" si="46"/>
        <v>0</v>
      </c>
      <c r="O49" s="325">
        <f t="shared" si="46"/>
        <v>0</v>
      </c>
      <c r="P49" s="327">
        <f t="shared" si="46"/>
        <v>0</v>
      </c>
      <c r="Q49" s="238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1" t="s">
        <v>146</v>
      </c>
      <c r="B50" s="324" t="s">
        <v>128</v>
      </c>
      <c r="C50" s="412"/>
      <c r="D50" s="412"/>
      <c r="E50" s="412"/>
      <c r="F50" s="412"/>
      <c r="G50" s="412"/>
      <c r="H50" s="414"/>
      <c r="I50" s="331" t="str">
        <f t="shared" si="0"/>
        <v>Salaire net payé</v>
      </c>
      <c r="J50" s="324" t="s">
        <v>128</v>
      </c>
      <c r="K50" s="412"/>
      <c r="L50" s="412"/>
      <c r="M50" s="412"/>
      <c r="N50" s="412"/>
      <c r="O50" s="412"/>
      <c r="P50" s="414"/>
      <c r="Q50" s="305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2" t="s">
        <v>147</v>
      </c>
      <c r="B51" s="333" t="s">
        <v>128</v>
      </c>
      <c r="C51" s="326">
        <f>IF(C50=0,0,C50-C49)</f>
        <v>0</v>
      </c>
      <c r="D51" s="326">
        <f t="shared" ref="D51:H51" si="47">IF(D50=0,0,D50-D49)</f>
        <v>0</v>
      </c>
      <c r="E51" s="326">
        <f t="shared" si="47"/>
        <v>0</v>
      </c>
      <c r="F51" s="326">
        <f t="shared" si="47"/>
        <v>0</v>
      </c>
      <c r="G51" s="326">
        <f t="shared" si="47"/>
        <v>0</v>
      </c>
      <c r="H51" s="328">
        <f t="shared" si="47"/>
        <v>0</v>
      </c>
      <c r="I51" s="332" t="str">
        <f t="shared" si="0"/>
        <v>Différence</v>
      </c>
      <c r="J51" s="333" t="s">
        <v>128</v>
      </c>
      <c r="K51" s="326">
        <f t="shared" ref="K51:P51" si="48">IF(K50=0,0,K50-K49)</f>
        <v>0</v>
      </c>
      <c r="L51" s="326">
        <f t="shared" si="48"/>
        <v>0</v>
      </c>
      <c r="M51" s="326">
        <f t="shared" si="48"/>
        <v>0</v>
      </c>
      <c r="N51" s="326">
        <f t="shared" si="48"/>
        <v>0</v>
      </c>
      <c r="O51" s="326">
        <f t="shared" si="48"/>
        <v>0</v>
      </c>
      <c r="P51" s="328">
        <f t="shared" si="48"/>
        <v>0</v>
      </c>
      <c r="Q51" s="305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148</v>
      </c>
      <c r="B52" s="321"/>
      <c r="C52" s="448"/>
      <c r="D52" s="448"/>
      <c r="E52" s="448"/>
      <c r="F52" s="448"/>
      <c r="G52" s="448"/>
      <c r="H52" s="446"/>
      <c r="I52" s="71" t="str">
        <f t="shared" si="0"/>
        <v>Remarques</v>
      </c>
      <c r="J52" s="321"/>
      <c r="K52" s="448"/>
      <c r="L52" s="448"/>
      <c r="M52" s="448"/>
      <c r="N52" s="448"/>
      <c r="O52" s="450"/>
      <c r="P52" s="446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3"/>
      <c r="B53" s="273"/>
      <c r="C53" s="449"/>
      <c r="D53" s="449"/>
      <c r="E53" s="449"/>
      <c r="F53" s="449"/>
      <c r="G53" s="449"/>
      <c r="H53" s="447"/>
      <c r="I53" s="313"/>
      <c r="J53" s="273"/>
      <c r="K53" s="449"/>
      <c r="L53" s="449"/>
      <c r="M53" s="449"/>
      <c r="N53" s="449"/>
      <c r="O53" s="451"/>
      <c r="P53" s="447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4" t="s">
        <v>149</v>
      </c>
      <c r="B55" s="274"/>
      <c r="C55" s="85">
        <f t="shared" ref="C55:H55" si="50">C21</f>
        <v>45292</v>
      </c>
      <c r="D55" s="86">
        <f t="shared" si="50"/>
        <v>45323</v>
      </c>
      <c r="E55" s="86">
        <f t="shared" si="50"/>
        <v>45352</v>
      </c>
      <c r="F55" s="86">
        <f t="shared" si="50"/>
        <v>45383</v>
      </c>
      <c r="G55" s="86">
        <f t="shared" si="50"/>
        <v>45413</v>
      </c>
      <c r="H55" s="87">
        <f t="shared" si="50"/>
        <v>45444</v>
      </c>
      <c r="I55" s="314" t="str">
        <f>A55</f>
        <v>Données pour AssistMe:</v>
      </c>
      <c r="J55" s="274"/>
      <c r="K55" s="86">
        <f t="shared" ref="K55:P55" si="51">K21</f>
        <v>45474</v>
      </c>
      <c r="L55" s="86">
        <f t="shared" si="51"/>
        <v>45505</v>
      </c>
      <c r="M55" s="86">
        <f t="shared" si="51"/>
        <v>45536</v>
      </c>
      <c r="N55" s="88">
        <f t="shared" si="51"/>
        <v>45566</v>
      </c>
      <c r="O55" s="86">
        <f t="shared" si="51"/>
        <v>45597</v>
      </c>
      <c r="P55" s="87">
        <f t="shared" si="51"/>
        <v>45627</v>
      </c>
      <c r="Q55" s="224" t="s">
        <v>126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5" t="s">
        <v>150</v>
      </c>
      <c r="B56" s="275" t="s">
        <v>151</v>
      </c>
      <c r="C56" s="402" t="str">
        <f t="shared" ref="C56:H56" si="52">IF($C$16="Salaire horaire",IF($M$8="","",(C25*$P$10)+(C24*$P$7)+C26+C28+(C32+C33)/(IF($M$13&gt;1,((($M$8+$M$13)/2)),$M$8))),"Salaire mensuel")</f>
        <v>Salaire mensuel</v>
      </c>
      <c r="D56" s="402" t="str">
        <f t="shared" si="52"/>
        <v>Salaire mensuel</v>
      </c>
      <c r="E56" s="402" t="str">
        <f t="shared" si="52"/>
        <v>Salaire mensuel</v>
      </c>
      <c r="F56" s="402" t="str">
        <f t="shared" si="52"/>
        <v>Salaire mensuel</v>
      </c>
      <c r="G56" s="402" t="str">
        <f t="shared" si="52"/>
        <v>Salaire mensuel</v>
      </c>
      <c r="H56" s="287" t="str">
        <f t="shared" si="52"/>
        <v>Salaire mensuel</v>
      </c>
      <c r="I56" s="316" t="str">
        <f>A56</f>
        <v>Nombre d'heures</v>
      </c>
      <c r="J56" s="275" t="s">
        <v>151</v>
      </c>
      <c r="K56" s="402" t="str">
        <f t="shared" ref="K56:P56" si="53">IF($C$16="Salaire horaire",IF($M$8="","",(K25*$P$10)+(K24*$P$7)+K26+K28+(K32+K33)/(IF($M$13&gt;1,((($M$8+$M$13)/2)),$M$8))),"Salaire mensuel")</f>
        <v>Salaire mensuel</v>
      </c>
      <c r="L56" s="402" t="str">
        <f t="shared" si="53"/>
        <v>Salaire mensuel</v>
      </c>
      <c r="M56" s="402" t="str">
        <f t="shared" si="53"/>
        <v>Salaire mensuel</v>
      </c>
      <c r="N56" s="402" t="str">
        <f t="shared" si="53"/>
        <v>Salaire mensuel</v>
      </c>
      <c r="O56" s="402" t="str">
        <f t="shared" si="53"/>
        <v>Salaire mensuel</v>
      </c>
      <c r="P56" s="287" t="str">
        <f t="shared" si="53"/>
        <v>Salaire mensuel</v>
      </c>
      <c r="Q56" s="229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16" t="s">
        <v>145</v>
      </c>
      <c r="B57" s="276" t="s">
        <v>128</v>
      </c>
      <c r="C57" s="288">
        <f>C49-C48-C47-C46-C36-C35-C34-C31</f>
        <v>0</v>
      </c>
      <c r="D57" s="288">
        <f t="shared" ref="D57:H57" si="54">D49-D48-D47-D46-D36-D35-D34-D31</f>
        <v>0</v>
      </c>
      <c r="E57" s="288">
        <f t="shared" si="54"/>
        <v>0</v>
      </c>
      <c r="F57" s="288">
        <f t="shared" si="54"/>
        <v>0</v>
      </c>
      <c r="G57" s="288">
        <f t="shared" si="54"/>
        <v>0</v>
      </c>
      <c r="H57" s="287">
        <f t="shared" si="54"/>
        <v>0</v>
      </c>
      <c r="I57" s="316" t="str">
        <f>A57</f>
        <v>Salaire net</v>
      </c>
      <c r="J57" s="276" t="s">
        <v>128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297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17" t="s">
        <v>152</v>
      </c>
      <c r="B58" s="277" t="s">
        <v>128</v>
      </c>
      <c r="C58" s="289">
        <f>IF(C32&gt;0.1,C32-(C32*(SUM($T$8:$T$14)+$Y$9+$T$16))-(C32/IF(C39=0,1,C39)*-C44),IF(C32&lt;-0.1,C32-(C32*(SUM($T$8:$T$14)+$Y$9+$T$16))-(C32/IF(C39=0,1,C39)*-C44),0))</f>
        <v>0</v>
      </c>
      <c r="D58" s="289">
        <f t="shared" ref="D58:H58" si="56">IF(D32&gt;0.1,D32-(D32*(SUM($T$8:$T$14)+$Y$9+$T$16))-(D32/IF(D39=0,1,D39)*-D44),IF(D32&lt;-0.1,D32-(D32*(SUM($T$8:$T$14)+$Y$9+$T$16))-(D32/IF(D39=0,1,D39)*-D44),0))</f>
        <v>0</v>
      </c>
      <c r="E58" s="289">
        <f t="shared" si="56"/>
        <v>0</v>
      </c>
      <c r="F58" s="289">
        <f t="shared" si="56"/>
        <v>0</v>
      </c>
      <c r="G58" s="289">
        <f t="shared" si="56"/>
        <v>0</v>
      </c>
      <c r="H58" s="290">
        <f t="shared" si="56"/>
        <v>0</v>
      </c>
      <c r="I58" s="317" t="str">
        <f>A58</f>
        <v>Dont oblig. de verser le salaire (art. 324a CO)</v>
      </c>
      <c r="J58" s="277" t="s">
        <v>128</v>
      </c>
      <c r="K58" s="289">
        <f t="shared" ref="K58:P58" si="57">IF(K32&gt;0.1,K32-(K32*(SUM($T$8:$T$14)+$Y$9+$T$16))-(K32/IF(K39=0,1,K39)*-K44),IF(K32&lt;-0.1,K32-(K32*(SUM($T$8:$T$14)+$Y$9+$T$16))-(K32/IF(K39=0,1,K39)*-K44),0))</f>
        <v>0</v>
      </c>
      <c r="L58" s="289">
        <f t="shared" si="57"/>
        <v>0</v>
      </c>
      <c r="M58" s="289">
        <f t="shared" si="57"/>
        <v>0</v>
      </c>
      <c r="N58" s="289">
        <f t="shared" si="57"/>
        <v>0</v>
      </c>
      <c r="O58" s="289">
        <f t="shared" si="57"/>
        <v>0</v>
      </c>
      <c r="P58" s="290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18" t="str">
        <f>IF(G12="oui","Contribution d'assistance de l'AI","")</f>
        <v/>
      </c>
      <c r="B60" s="278"/>
      <c r="C60" s="219" t="str">
        <f t="shared" ref="C60:H60" si="58">IF($G$12="oui",C21,"")</f>
        <v/>
      </c>
      <c r="D60" s="219" t="str">
        <f t="shared" si="58"/>
        <v/>
      </c>
      <c r="E60" s="219" t="str">
        <f t="shared" si="58"/>
        <v/>
      </c>
      <c r="F60" s="219" t="str">
        <f t="shared" si="58"/>
        <v/>
      </c>
      <c r="G60" s="219" t="str">
        <f t="shared" si="58"/>
        <v/>
      </c>
      <c r="H60" s="220" t="str">
        <f t="shared" si="58"/>
        <v/>
      </c>
      <c r="I60" s="318" t="str">
        <f t="shared" ref="I60:I64" si="59">A60</f>
        <v/>
      </c>
      <c r="J60" s="278"/>
      <c r="K60" s="219" t="str">
        <f t="shared" ref="K60:P60" si="60">IF($G$12="oui",K21,"")</f>
        <v/>
      </c>
      <c r="L60" s="219" t="str">
        <f t="shared" si="60"/>
        <v/>
      </c>
      <c r="M60" s="219" t="str">
        <f t="shared" si="60"/>
        <v/>
      </c>
      <c r="N60" s="221" t="str">
        <f t="shared" si="60"/>
        <v/>
      </c>
      <c r="O60" s="219" t="str">
        <f t="shared" si="60"/>
        <v/>
      </c>
      <c r="P60" s="220" t="str">
        <f t="shared" si="60"/>
        <v/>
      </c>
      <c r="Q60" s="225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19" t="str">
        <f>IF(G12="oui","A) Nb. d'heures standard","")</f>
        <v/>
      </c>
      <c r="B61" s="279" t="str">
        <f>IF(G12="oui","h"," ")</f>
        <v xml:space="preserve"> </v>
      </c>
      <c r="C61" s="291" t="str">
        <f>IF($G$12="oui",(IF(DATEDIF($F$7,C$21,"Y")&lt;18,0,C26+C28)),"")</f>
        <v/>
      </c>
      <c r="D61" s="291" t="str">
        <f t="shared" ref="D61:H61" si="61">IF($G$12="oui",(IF(DATEDIF($F$7,D$21,"Y")&lt;18,0,D26+D28)),"")</f>
        <v/>
      </c>
      <c r="E61" s="291" t="str">
        <f t="shared" si="61"/>
        <v/>
      </c>
      <c r="F61" s="223" t="str">
        <f t="shared" si="61"/>
        <v/>
      </c>
      <c r="G61" s="223" t="str">
        <f t="shared" si="61"/>
        <v/>
      </c>
      <c r="H61" s="222" t="str">
        <f t="shared" si="61"/>
        <v/>
      </c>
      <c r="I61" s="320" t="str">
        <f t="shared" si="59"/>
        <v/>
      </c>
      <c r="J61" s="279" t="str">
        <f>B61</f>
        <v xml:space="preserve"> </v>
      </c>
      <c r="K61" s="223" t="str">
        <f t="shared" ref="K61:P61" si="62">IF($G$12="oui",(IF(DATEDIF($F$7,K$21,"Y")&lt;18,0,K26+K28)),"")</f>
        <v/>
      </c>
      <c r="L61" s="223" t="str">
        <f t="shared" si="62"/>
        <v/>
      </c>
      <c r="M61" s="223" t="str">
        <f t="shared" si="62"/>
        <v/>
      </c>
      <c r="N61" s="295" t="str">
        <f t="shared" si="62"/>
        <v/>
      </c>
      <c r="O61" s="223" t="str">
        <f t="shared" si="62"/>
        <v/>
      </c>
      <c r="P61" s="222" t="str">
        <f t="shared" si="62"/>
        <v/>
      </c>
      <c r="Q61" s="22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0" t="str">
        <f>IF(G12="oui","B) Nb. d'heures quali B","")</f>
        <v/>
      </c>
      <c r="B62" s="280" t="str">
        <f>IF(G12="oui","h"," ")</f>
        <v xml:space="preserve"> </v>
      </c>
      <c r="C62" s="291"/>
      <c r="D62" s="291"/>
      <c r="E62" s="291"/>
      <c r="F62" s="291"/>
      <c r="G62" s="291"/>
      <c r="H62" s="292"/>
      <c r="I62" s="320" t="str">
        <f t="shared" si="59"/>
        <v/>
      </c>
      <c r="J62" s="280" t="str">
        <f>B62</f>
        <v xml:space="preserve"> </v>
      </c>
      <c r="K62" s="223"/>
      <c r="L62" s="223"/>
      <c r="M62" s="223"/>
      <c r="N62" s="295"/>
      <c r="O62" s="223"/>
      <c r="P62" s="222"/>
      <c r="Q62" s="222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x14ac:dyDescent="0.2">
      <c r="A63" s="392" t="str">
        <f>IF($G$12="oui","C) Nb. d'engagements 
de nuit","")</f>
        <v/>
      </c>
      <c r="B63" s="393" t="str">
        <f>IF(G12="oui","Nb."," ")</f>
        <v xml:space="preserve"> </v>
      </c>
      <c r="C63" s="394" t="str">
        <f>IF($G$12="oui",(IF(DATEDIF($F$7,C$21,"Y")&lt;18,0,C25)),"")</f>
        <v/>
      </c>
      <c r="D63" s="394" t="str">
        <f t="shared" ref="D63:H63" si="63">IF($G$12="oui",(IF(DATEDIF($F$7,D$21,"Y")&lt;18,0,D25)),"")</f>
        <v/>
      </c>
      <c r="E63" s="394" t="str">
        <f t="shared" si="63"/>
        <v/>
      </c>
      <c r="F63" s="394" t="str">
        <f t="shared" si="63"/>
        <v/>
      </c>
      <c r="G63" s="394" t="str">
        <f t="shared" si="63"/>
        <v/>
      </c>
      <c r="H63" s="395" t="str">
        <f t="shared" si="63"/>
        <v/>
      </c>
      <c r="I63" s="392" t="str">
        <f t="shared" si="59"/>
        <v/>
      </c>
      <c r="J63" s="393" t="str">
        <f>B63</f>
        <v xml:space="preserve"> </v>
      </c>
      <c r="K63" s="394" t="str">
        <f t="shared" ref="K63:P63" si="64">IF($G$12="oui",(IF(DATEDIF($F$7,K$21,"Y")&lt;18,0,K25)),"")</f>
        <v/>
      </c>
      <c r="L63" s="394" t="str">
        <f t="shared" si="64"/>
        <v/>
      </c>
      <c r="M63" s="394" t="str">
        <f t="shared" si="64"/>
        <v/>
      </c>
      <c r="N63" s="396" t="str">
        <f t="shared" si="64"/>
        <v/>
      </c>
      <c r="O63" s="394" t="str">
        <f t="shared" si="64"/>
        <v/>
      </c>
      <c r="P63" s="395" t="str">
        <f t="shared" si="64"/>
        <v/>
      </c>
      <c r="Q63" s="397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1" customFormat="1" ht="15" customHeight="1" thickBot="1" x14ac:dyDescent="0.25">
      <c r="A64" s="433" t="str">
        <f>IF(G12="oui","Oblig. de verser le salaire","")</f>
        <v/>
      </c>
      <c r="B64" s="434"/>
      <c r="C64" s="293" t="str">
        <f>IF($G$12="oui",(IF(OR(C32&gt;0.1,C33&gt;0.1),"décompter","")),"")</f>
        <v/>
      </c>
      <c r="D64" s="293" t="str">
        <f t="shared" ref="D64:H64" si="65">IF($G$12="oui",(IF(OR(D32&gt;0.1,D33&gt;0.1),"décompter","")),"")</f>
        <v/>
      </c>
      <c r="E64" s="293" t="str">
        <f t="shared" si="65"/>
        <v/>
      </c>
      <c r="F64" s="293" t="str">
        <f t="shared" si="65"/>
        <v/>
      </c>
      <c r="G64" s="293" t="str">
        <f t="shared" si="65"/>
        <v/>
      </c>
      <c r="H64" s="294" t="str">
        <f t="shared" si="65"/>
        <v/>
      </c>
      <c r="I64" s="435" t="str">
        <f t="shared" si="59"/>
        <v/>
      </c>
      <c r="J64" s="434"/>
      <c r="K64" s="293" t="str">
        <f t="shared" ref="K64:P64" si="66">IF($G$12="oui",(IF(OR(K32&gt;0.1,K33&gt;0.1),"décompter","")),"")</f>
        <v/>
      </c>
      <c r="L64" s="293" t="str">
        <f t="shared" si="66"/>
        <v/>
      </c>
      <c r="M64" s="293" t="str">
        <f t="shared" si="66"/>
        <v/>
      </c>
      <c r="N64" s="296" t="str">
        <f t="shared" si="66"/>
        <v/>
      </c>
      <c r="O64" s="293" t="str">
        <f t="shared" si="66"/>
        <v/>
      </c>
      <c r="P64" s="294" t="str">
        <f t="shared" si="66"/>
        <v/>
      </c>
      <c r="Q64" s="227" t="str">
        <f>IF($G$12="oui",SUM(C64:H64)+SUM(K64:P64),"")</f>
        <v/>
      </c>
      <c r="R64" s="398"/>
      <c r="S64" s="398"/>
      <c r="T64" s="398"/>
      <c r="U64" s="398"/>
      <c r="V64" s="398"/>
      <c r="W64" s="399"/>
      <c r="X64" s="400"/>
      <c r="Y64" s="400"/>
      <c r="Z64" s="400"/>
      <c r="AA64" s="400"/>
      <c r="AB64" s="400"/>
      <c r="AC64" s="400"/>
      <c r="AD64" s="400"/>
      <c r="AE64" s="400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6"/>
      <c r="Y65" s="226"/>
      <c r="Z65" s="226"/>
      <c r="AA65" s="226"/>
      <c r="AB65" s="226"/>
      <c r="AC65" s="226"/>
      <c r="AD65" s="226"/>
      <c r="AE65" s="226"/>
    </row>
    <row r="66" spans="1:31" ht="15" customHeight="1" x14ac:dyDescent="0.2">
      <c r="S66" s="62"/>
      <c r="T66" s="62"/>
      <c r="U66" s="62"/>
    </row>
  </sheetData>
  <sheetProtection algorithmName="SHA-512" hashValue="nYPb9P7BqsNxV7NWSa6hKuxSEbwTB+aT8BWqyjJkf8QtWZVwoYT23wlODq1gdo9UAHBaFboiHCKLiC94C0wMUA==" saltValue="f9TwkXVGvt+mFy6CHnRReQ==" spinCount="100000" sheet="1" objects="1" scenarios="1"/>
  <mergeCells count="48">
    <mergeCell ref="H52:H53"/>
    <mergeCell ref="C52:C53"/>
    <mergeCell ref="D52:D53"/>
    <mergeCell ref="E52:E53"/>
    <mergeCell ref="F52:F53"/>
    <mergeCell ref="G52:G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O52:O53"/>
    <mergeCell ref="P52:P53"/>
    <mergeCell ref="S24:U26"/>
    <mergeCell ref="S28:U30"/>
    <mergeCell ref="S31:U32"/>
    <mergeCell ref="S33:U35"/>
    <mergeCell ref="S36:U40"/>
    <mergeCell ref="S41:U43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348" priority="28" operator="beginsWith" text="Nom">
      <formula>LEFT(A25,LEN("Nom"))="Nom"</formula>
    </cfRule>
  </conditionalFormatting>
  <conditionalFormatting sqref="A26">
    <cfRule type="containsText" dxfId="347" priority="39" operator="containsText" text="Nombre d'heures">
      <formula>NOT(ISERROR(SEARCH("Nombre d'heures",A26)))</formula>
    </cfRule>
  </conditionalFormatting>
  <conditionalFormatting sqref="A28">
    <cfRule type="containsText" dxfId="346" priority="42" operator="containsText" text="Nombre d'heures II">
      <formula>NOT(ISERROR(SEARCH("Nombre d'heures II",A28)))</formula>
    </cfRule>
  </conditionalFormatting>
  <conditionalFormatting sqref="A24:B24">
    <cfRule type="expression" dxfId="345" priority="40">
      <formula>$G$11="oui"</formula>
    </cfRule>
  </conditionalFormatting>
  <conditionalFormatting sqref="A25:B25">
    <cfRule type="expression" dxfId="344" priority="31">
      <formula>$P$10&gt;0.1</formula>
    </cfRule>
  </conditionalFormatting>
  <conditionalFormatting sqref="A50:B50">
    <cfRule type="expression" dxfId="343" priority="218">
      <formula>$G$11="ja"</formula>
    </cfRule>
  </conditionalFormatting>
  <conditionalFormatting sqref="B25">
    <cfRule type="beginsWith" dxfId="342" priority="27" operator="beginsWith" text="Nb">
      <formula>LEFT(B25,LEN("Nb"))="Nb"</formula>
    </cfRule>
  </conditionalFormatting>
  <conditionalFormatting sqref="B26">
    <cfRule type="containsText" dxfId="341" priority="30" operator="containsText" text="h">
      <formula>NOT(ISERROR(SEARCH("h",B26)))</formula>
    </cfRule>
  </conditionalFormatting>
  <conditionalFormatting sqref="B28">
    <cfRule type="containsText" dxfId="340" priority="29" operator="containsText" text="h">
      <formula>NOT(ISERROR(SEARCH("h",B28)))</formula>
    </cfRule>
  </conditionalFormatting>
  <conditionalFormatting sqref="C17">
    <cfRule type="expression" dxfId="339" priority="54">
      <formula>$A$17="13ème salaire"</formula>
    </cfRule>
  </conditionalFormatting>
  <conditionalFormatting sqref="C22:H22">
    <cfRule type="cellIs" dxfId="338" priority="50" operator="greaterThan">
      <formula>1</formula>
    </cfRule>
  </conditionalFormatting>
  <conditionalFormatting sqref="C23:H23 K23:P23">
    <cfRule type="expression" dxfId="337" priority="17">
      <formula>$B$23="CHF"</formula>
    </cfRule>
  </conditionalFormatting>
  <conditionalFormatting sqref="C24:H24 K24:P24">
    <cfRule type="expression" dxfId="336" priority="36">
      <formula>$G$11="oui"</formula>
    </cfRule>
  </conditionalFormatting>
  <conditionalFormatting sqref="C25:H25 K25:P25">
    <cfRule type="expression" dxfId="335" priority="3">
      <formula>$B$25="Nb."</formula>
    </cfRule>
  </conditionalFormatting>
  <conditionalFormatting sqref="C26:H26">
    <cfRule type="expression" dxfId="334" priority="10">
      <formula>$G$12="oui"</formula>
    </cfRule>
    <cfRule type="expression" dxfId="333" priority="11">
      <formula>$C$16="Salaire horaire"</formula>
    </cfRule>
  </conditionalFormatting>
  <conditionalFormatting sqref="C28:H28 K28:P28">
    <cfRule type="expression" dxfId="332" priority="37">
      <formula>$G$10="oui"</formula>
    </cfRule>
  </conditionalFormatting>
  <conditionalFormatting sqref="C50:H50">
    <cfRule type="expression" dxfId="331" priority="192">
      <formula>C51&gt;0.01</formula>
    </cfRule>
    <cfRule type="expression" dxfId="330" priority="193">
      <formula>C51&lt;-0.01</formula>
    </cfRule>
  </conditionalFormatting>
  <conditionalFormatting sqref="C51:H51">
    <cfRule type="cellIs" dxfId="329" priority="206" operator="lessThan">
      <formula>-0.04</formula>
    </cfRule>
    <cfRule type="cellIs" dxfId="328" priority="207" operator="greaterThan">
      <formula>0.04</formula>
    </cfRule>
  </conditionalFormatting>
  <conditionalFormatting sqref="G1">
    <cfRule type="containsText" dxfId="327" priority="25" operator="containsText" text="Attention faute">
      <formula>NOT(ISERROR(SEARCH("Attention faute",G1)))</formula>
    </cfRule>
  </conditionalFormatting>
  <conditionalFormatting sqref="G10">
    <cfRule type="expression" dxfId="326" priority="18">
      <formula>$C$16="Salaire horaire"</formula>
    </cfRule>
  </conditionalFormatting>
  <conditionalFormatting sqref="H17:H18 S24">
    <cfRule type="beginsWith" dxfId="325" priority="46" operator="beginsWith" text="ATT">
      <formula>LEFT(H17,LEN("ATT"))="ATT"</formula>
    </cfRule>
  </conditionalFormatting>
  <conditionalFormatting sqref="I25">
    <cfRule type="beginsWith" dxfId="324" priority="5" operator="beginsWith" text="Nom">
      <formula>LEFT(I25,LEN("Nom"))="Nom"</formula>
    </cfRule>
  </conditionalFormatting>
  <conditionalFormatting sqref="I26">
    <cfRule type="containsText" dxfId="323" priority="22" operator="containsText" text="Nombre d'heures">
      <formula>NOT(ISERROR(SEARCH("Nombre d'heures",I26)))</formula>
    </cfRule>
  </conditionalFormatting>
  <conditionalFormatting sqref="I28">
    <cfRule type="containsText" dxfId="322" priority="24" operator="containsText" text="Nombre d'heures II">
      <formula>NOT(ISERROR(SEARCH("Nombre d'heures II",I28)))</formula>
    </cfRule>
  </conditionalFormatting>
  <conditionalFormatting sqref="I24:J24">
    <cfRule type="expression" dxfId="321" priority="23">
      <formula>$G$11="oui"</formula>
    </cfRule>
  </conditionalFormatting>
  <conditionalFormatting sqref="I25:J25">
    <cfRule type="expression" dxfId="320" priority="6">
      <formula>$P$10&gt;0.1</formula>
    </cfRule>
  </conditionalFormatting>
  <conditionalFormatting sqref="I50:J50">
    <cfRule type="expression" dxfId="319" priority="170">
      <formula>$G$11="ja"</formula>
    </cfRule>
  </conditionalFormatting>
  <conditionalFormatting sqref="J25">
    <cfRule type="beginsWith" dxfId="318" priority="4" operator="beginsWith" text="Nb">
      <formula>LEFT(J25,LEN("Nb"))="Nb"</formula>
    </cfRule>
  </conditionalFormatting>
  <conditionalFormatting sqref="J26">
    <cfRule type="containsText" dxfId="317" priority="21" operator="containsText" text="h">
      <formula>NOT(ISERROR(SEARCH("h",J26)))</formula>
    </cfRule>
  </conditionalFormatting>
  <conditionalFormatting sqref="J28">
    <cfRule type="containsText" dxfId="316" priority="20" operator="containsText" text="h">
      <formula>NOT(ISERROR(SEARCH("h",J28)))</formula>
    </cfRule>
  </conditionalFormatting>
  <conditionalFormatting sqref="K22:P22">
    <cfRule type="cellIs" dxfId="315" priority="51" operator="greaterThan">
      <formula>1</formula>
    </cfRule>
  </conditionalFormatting>
  <conditionalFormatting sqref="K26:P26">
    <cfRule type="expression" dxfId="314" priority="34">
      <formula>$G$12="oui"</formula>
    </cfRule>
    <cfRule type="expression" dxfId="313" priority="35">
      <formula>$C$16="Salaire horaire"</formula>
    </cfRule>
  </conditionalFormatting>
  <conditionalFormatting sqref="K50:P50">
    <cfRule type="expression" dxfId="312" priority="180">
      <formula>K51&gt;0.01</formula>
    </cfRule>
    <cfRule type="expression" dxfId="311" priority="181">
      <formula>K51&lt;-0.01</formula>
    </cfRule>
  </conditionalFormatting>
  <conditionalFormatting sqref="K51:P51">
    <cfRule type="cellIs" dxfId="310" priority="202" operator="lessThan">
      <formula>-0.04</formula>
    </cfRule>
    <cfRule type="cellIs" dxfId="309" priority="203" operator="greaterThan">
      <formula>0.04</formula>
    </cfRule>
  </conditionalFormatting>
  <conditionalFormatting sqref="L7">
    <cfRule type="expression" dxfId="308" priority="33">
      <formula>$C$16="à choisir"</formula>
    </cfRule>
  </conditionalFormatting>
  <conditionalFormatting sqref="L12">
    <cfRule type="expression" dxfId="307" priority="43">
      <formula>$G$10="oui"</formula>
    </cfRule>
  </conditionalFormatting>
  <conditionalFormatting sqref="M8">
    <cfRule type="expression" dxfId="306" priority="32">
      <formula>$C$16="Salaire horaire"</formula>
    </cfRule>
    <cfRule type="expression" dxfId="305" priority="26">
      <formula>$C$16="salaire mensuel"</formula>
    </cfRule>
  </conditionalFormatting>
  <conditionalFormatting sqref="M13">
    <cfRule type="expression" dxfId="304" priority="38">
      <formula>$G$10="oui"</formula>
    </cfRule>
  </conditionalFormatting>
  <conditionalFormatting sqref="P1">
    <cfRule type="containsText" dxfId="303" priority="19" operator="containsText" text="Attention faute">
      <formula>NOT(ISERROR(SEARCH("Attention faute",P1)))</formula>
    </cfRule>
  </conditionalFormatting>
  <conditionalFormatting sqref="P7">
    <cfRule type="expression" dxfId="302" priority="41">
      <formula>$Q$7="du Sal.horaire"</formula>
    </cfRule>
  </conditionalFormatting>
  <conditionalFormatting sqref="P10">
    <cfRule type="expression" dxfId="301" priority="44">
      <formula>$Q$10="heures"</formula>
    </cfRule>
  </conditionalFormatting>
  <conditionalFormatting sqref="S20">
    <cfRule type="beginsWith" dxfId="300" priority="8" operator="beginsWith" text="Rema">
      <formula>LEFT(S20,LEN("Rema"))="Rema"</formula>
    </cfRule>
    <cfRule type="beginsWith" dxfId="299" priority="7" operator="beginsWith" text="Ni">
      <formula>LEFT(S20,LEN("Ni"))="Ni"</formula>
    </cfRule>
    <cfRule type="beginsWith" dxfId="298" priority="9" operator="beginsWith" text="La">
      <formula>LEFT(S20,LEN("La"))="La"</formula>
    </cfRule>
  </conditionalFormatting>
  <conditionalFormatting sqref="S28">
    <cfRule type="beginsWith" dxfId="297" priority="45" operator="beginsWith" text="ATT">
      <formula>LEFT(S28,LEN("ATT"))="ATT"</formula>
    </cfRule>
  </conditionalFormatting>
  <conditionalFormatting sqref="S36:S37">
    <cfRule type="beginsWith" dxfId="296" priority="102" operator="beginsWith" text="Att">
      <formula>LEFT(S36,LEN("Att"))="Att"</formula>
    </cfRule>
  </conditionalFormatting>
  <conditionalFormatting sqref="A64:Q64">
    <cfRule type="expression" dxfId="295" priority="1">
      <formula>$G$12="non"</formula>
    </cfRule>
  </conditionalFormatting>
  <conditionalFormatting sqref="A60:Q63">
    <cfRule type="expression" dxfId="294" priority="2">
      <formula>$G$12="non"</formula>
    </cfRule>
  </conditionalFormatting>
  <dataValidations count="7">
    <dataValidation type="list" allowBlank="1" showInputMessage="1" showErrorMessage="1" sqref="G10" xr:uid="{00000000-0002-0000-0400-000001000000}">
      <formula1>$AC$13:$AC$14</formula1>
    </dataValidation>
    <dataValidation type="list" allowBlank="1" showInputMessage="1" showErrorMessage="1" sqref="C17" xr:uid="{00000000-0002-0000-0400-000002000000}">
      <formula1>$Y$11:$Y$12</formula1>
    </dataValidation>
    <dataValidation type="list" allowBlank="1" showInputMessage="1" showErrorMessage="1" sqref="C10" xr:uid="{044BFFD6-DE24-47A7-BC1C-BA43F43C6BE5}">
      <formula1>$X$6:$X$8</formula1>
    </dataValidation>
    <dataValidation type="list" allowBlank="1" showInputMessage="1" showErrorMessage="1" sqref="F9:G9" xr:uid="{00000000-0002-0000-0400-000000000000}">
      <formula1>$AB$6:$AB$19</formula1>
    </dataValidation>
    <dataValidation type="list" allowBlank="1" showInputMessage="1" showErrorMessage="1" sqref="C16" xr:uid="{B9A12EF8-D9F8-4BBB-A1B8-BFAB2E78B928}">
      <formula1>$X$11:$X$13</formula1>
    </dataValidation>
    <dataValidation type="list" allowBlank="1" showInputMessage="1" showErrorMessage="1" sqref="G13" xr:uid="{14F699E5-48F5-4219-B297-8F098CFCFA31}">
      <formula1>$Y$6:$Y$8</formula1>
    </dataValidation>
    <dataValidation type="list" allowBlank="1" showInputMessage="1" showErrorMessage="1" sqref="G11:G12" xr:uid="{EF2CA277-8D21-4BEA-8957-050DF15379C5}">
      <formula1>$AH$6:$AH$8</formula1>
    </dataValidation>
  </dataValidations>
  <hyperlinks>
    <hyperlink ref="G1:H3" location="Fehler1" display="Fehler1" xr:uid="{18C3EBC8-525F-4D8D-B5BD-27206161C73A}"/>
    <hyperlink ref="P1:Q3" location="Fehler1" display="Fehler1" xr:uid="{624E6F95-5549-40CC-A1BC-430EADD2C75E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7.0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BD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19.7109375" style="1" customWidth="1"/>
    <col min="10" max="10" width="4.5703125" style="1" bestFit="1" customWidth="1"/>
    <col min="11" max="16" width="12.28515625" style="1" customWidth="1"/>
    <col min="17" max="17" width="13.28515625" style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hidden="1" customWidth="1"/>
    <col min="38" max="16384" width="11.42578125" style="1"/>
  </cols>
  <sheetData>
    <row r="1" spans="1:35" ht="12.75" customHeight="1" x14ac:dyDescent="0.2">
      <c r="A1" s="443" t="str">
        <f>'PA 1'!A1:C1</f>
        <v>Nom/Prénom employeur</v>
      </c>
      <c r="B1" s="443"/>
      <c r="C1" s="443"/>
      <c r="D1" s="453">
        <v>45657</v>
      </c>
      <c r="E1" s="453"/>
      <c r="F1" s="453"/>
      <c r="G1" s="444" t="str">
        <f>IF($W45&gt;4,"Attention erreur!",IF($W$45&gt;0,"Attention remarque!",""))</f>
        <v/>
      </c>
      <c r="H1" s="444"/>
      <c r="I1" s="460" t="str">
        <f>A1</f>
        <v>Nom/Prénom employeur</v>
      </c>
      <c r="J1" s="460"/>
      <c r="K1" s="460"/>
      <c r="L1" s="453">
        <f>D1</f>
        <v>45657</v>
      </c>
      <c r="M1" s="453"/>
      <c r="N1" s="453"/>
      <c r="O1" s="453"/>
      <c r="P1" s="444" t="str">
        <f>IF($W45&gt;4,"Attention erreur!",IF($W$45&gt;0,"Attention remarque!",""))</f>
        <v/>
      </c>
      <c r="Q1" s="444"/>
      <c r="S1" s="246" t="s">
        <v>47</v>
      </c>
      <c r="T1" s="260"/>
      <c r="U1" s="361" t="s">
        <v>48</v>
      </c>
      <c r="V1" s="362" t="s">
        <v>49</v>
      </c>
      <c r="W1" s="68"/>
      <c r="AE1" s="1"/>
    </row>
    <row r="2" spans="1:35" ht="12.75" customHeight="1" x14ac:dyDescent="0.2">
      <c r="A2" s="443" t="str">
        <f>'PA 1'!A2:C2</f>
        <v>Lieu employeur</v>
      </c>
      <c r="B2" s="443"/>
      <c r="C2" s="443"/>
      <c r="D2" s="453"/>
      <c r="E2" s="453"/>
      <c r="F2" s="453"/>
      <c r="G2" s="444"/>
      <c r="H2" s="444"/>
      <c r="I2" s="460" t="str">
        <f>A2</f>
        <v>Lieu employeur</v>
      </c>
      <c r="J2" s="460"/>
      <c r="K2" s="460"/>
      <c r="L2" s="453"/>
      <c r="M2" s="453"/>
      <c r="N2" s="453"/>
      <c r="O2" s="453"/>
      <c r="P2" s="444"/>
      <c r="Q2" s="444"/>
      <c r="S2" s="249" t="s">
        <v>51</v>
      </c>
      <c r="T2" s="2"/>
      <c r="U2" s="218">
        <f>IF(C16="Salaire horaire",(M8*M7*52)+(M13*M12*52),(M8+Y13)*12)</f>
        <v>0</v>
      </c>
      <c r="V2" s="261"/>
      <c r="W2" s="68"/>
      <c r="Y2" s="466" t="s">
        <v>52</v>
      </c>
      <c r="AA2" s="466" t="s">
        <v>53</v>
      </c>
      <c r="AE2" s="1"/>
    </row>
    <row r="3" spans="1:35" ht="5.0999999999999996" customHeight="1" x14ac:dyDescent="0.2">
      <c r="G3" s="444"/>
      <c r="H3" s="444"/>
      <c r="P3" s="444"/>
      <c r="Q3" s="444"/>
      <c r="S3" s="254"/>
      <c r="V3" s="250"/>
      <c r="W3" s="68"/>
      <c r="Y3" s="466"/>
      <c r="AA3" s="466"/>
      <c r="AE3" s="1"/>
    </row>
    <row r="4" spans="1:35" ht="15.75" customHeight="1" thickBot="1" x14ac:dyDescent="0.3">
      <c r="A4" s="41" t="s">
        <v>54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0" t="s">
        <v>55</v>
      </c>
      <c r="J4" s="360"/>
      <c r="K4" s="360"/>
      <c r="L4" s="360"/>
      <c r="M4" s="42"/>
      <c r="N4" s="42"/>
      <c r="O4" s="42"/>
      <c r="P4" s="42"/>
      <c r="Q4" s="51" t="str">
        <f>CONCATENATE($C$6," ",$C$7)</f>
        <v xml:space="preserve"> </v>
      </c>
      <c r="S4" s="454" t="s">
        <v>56</v>
      </c>
      <c r="T4" s="455"/>
      <c r="U4" s="262">
        <f>((U2-(U2*SUM(T8:T14,T16,Y9)+(12*T15)))*Z14)</f>
        <v>0</v>
      </c>
      <c r="V4" s="263">
        <f>U4/365</f>
        <v>0</v>
      </c>
      <c r="W4" s="68"/>
      <c r="X4" s="464" t="s">
        <v>57</v>
      </c>
      <c r="Y4" s="466"/>
      <c r="Z4" s="464" t="s">
        <v>58</v>
      </c>
      <c r="AA4" s="466"/>
      <c r="AB4" s="467" t="s">
        <v>59</v>
      </c>
      <c r="AC4" s="468" t="s">
        <v>60</v>
      </c>
      <c r="AD4" s="465" t="s">
        <v>61</v>
      </c>
      <c r="AE4" s="1"/>
      <c r="AH4" s="464" t="s">
        <v>62</v>
      </c>
      <c r="AI4" s="464"/>
    </row>
    <row r="5" spans="1:35" ht="5.0999999999999996" customHeight="1" x14ac:dyDescent="0.2">
      <c r="X5" s="464"/>
      <c r="Y5" s="466"/>
      <c r="Z5" s="464"/>
      <c r="AA5" s="466"/>
      <c r="AB5" s="467"/>
      <c r="AC5" s="468"/>
      <c r="AD5" s="465"/>
      <c r="AE5" s="2"/>
      <c r="AF5" s="4"/>
      <c r="AG5" s="48"/>
      <c r="AH5" s="464"/>
      <c r="AI5" s="464"/>
    </row>
    <row r="6" spans="1:35" s="2" customFormat="1" ht="13.5" thickBot="1" x14ac:dyDescent="0.25">
      <c r="A6" s="2" t="s">
        <v>63</v>
      </c>
      <c r="C6" s="452"/>
      <c r="D6" s="452"/>
      <c r="E6" s="2" t="s">
        <v>64</v>
      </c>
      <c r="F6" s="445"/>
      <c r="G6" s="445"/>
      <c r="I6" s="6" t="s">
        <v>65</v>
      </c>
      <c r="N6" s="6" t="str">
        <f>IF(AND(C16="Salaire horaire",G11="oui"),"Calcul de l'indemnité les heures de garde","")</f>
        <v/>
      </c>
      <c r="W6" s="180"/>
      <c r="X6" s="2" t="s">
        <v>66</v>
      </c>
      <c r="Y6" s="2" t="s">
        <v>66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28" t="s">
        <v>66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67</v>
      </c>
      <c r="AG6" s="49"/>
      <c r="AH6" s="2" t="s">
        <v>66</v>
      </c>
    </row>
    <row r="7" spans="1:35" s="2" customFormat="1" x14ac:dyDescent="0.2">
      <c r="A7" s="2" t="s">
        <v>68</v>
      </c>
      <c r="C7" s="452"/>
      <c r="D7" s="452"/>
      <c r="E7" s="2" t="s">
        <v>69</v>
      </c>
      <c r="F7" s="445"/>
      <c r="G7" s="445"/>
      <c r="I7" s="2" t="str">
        <f>IF(C16="Salaire horaire",IF(G10="oui","Taux d'occupation I","Taux d'occupation"),IF(C16="Salaire mensuel","Taux d'occupation",""))</f>
        <v/>
      </c>
      <c r="L7" s="406"/>
      <c r="M7" s="371">
        <f>42*L7</f>
        <v>0</v>
      </c>
      <c r="N7" s="2" t="str">
        <f>IF(AND(C16="Salaire horaire",G11="oui"),"1 heure de garde =","")</f>
        <v/>
      </c>
      <c r="P7" s="304"/>
      <c r="Q7" s="2" t="str">
        <f>IF(AND(C16="Salaire horaire",G11="oui"),"du Sal.horaire","")</f>
        <v/>
      </c>
      <c r="S7" s="246" t="s">
        <v>70</v>
      </c>
      <c r="T7" s="247" t="s">
        <v>71</v>
      </c>
      <c r="U7" s="248"/>
      <c r="W7" s="1"/>
      <c r="X7" s="2" t="s">
        <v>72</v>
      </c>
      <c r="Y7" s="2" t="s">
        <v>73</v>
      </c>
      <c r="Z7" s="59" t="str">
        <f>IF(OR(G13="ordinaire",G13="à choisir"),"ordinaire","")</f>
        <v>ordinaire</v>
      </c>
      <c r="AA7" s="59"/>
      <c r="AB7" s="59" t="s">
        <v>74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75</v>
      </c>
      <c r="AG7" s="49">
        <f>IF(C16="Salaire horaire",(M7*52/12)*12*M8,(M8)*12)</f>
        <v>0</v>
      </c>
      <c r="AH7" s="2" t="s">
        <v>76</v>
      </c>
    </row>
    <row r="8" spans="1:35" s="2" customFormat="1" ht="12" customHeight="1" x14ac:dyDescent="0.2">
      <c r="A8" s="2" t="s">
        <v>77</v>
      </c>
      <c r="C8" s="452"/>
      <c r="D8" s="452"/>
      <c r="E8" s="2" t="s">
        <v>78</v>
      </c>
      <c r="F8" s="452"/>
      <c r="G8" s="452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5"/>
      <c r="S8" s="249" t="s">
        <v>79</v>
      </c>
      <c r="T8" s="251">
        <f>IF(F7="",0,IF(DATEDIF($F$7,D1,"Y")&lt;18,0,5.3%))</f>
        <v>0</v>
      </c>
      <c r="U8" s="250"/>
      <c r="W8" s="152"/>
      <c r="X8" s="2" t="s">
        <v>80</v>
      </c>
      <c r="Y8" s="59" t="s">
        <v>81</v>
      </c>
      <c r="Z8" s="59"/>
      <c r="AB8" s="59" t="s">
        <v>82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83</v>
      </c>
    </row>
    <row r="9" spans="1:35" s="2" customFormat="1" x14ac:dyDescent="0.2">
      <c r="A9" s="2" t="s">
        <v>84</v>
      </c>
      <c r="C9" s="452"/>
      <c r="D9" s="452"/>
      <c r="E9" s="2" t="s">
        <v>85</v>
      </c>
      <c r="F9" s="456" t="s">
        <v>66</v>
      </c>
      <c r="G9" s="456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3" t="str">
        <f>IF($C$16="Salaire horaire",M8/(1+L9)*L9,"")</f>
        <v/>
      </c>
      <c r="N9" s="6" t="str">
        <f>IF(C16="Salaire horaire","Conversion des engagements de nuit en heures","")</f>
        <v/>
      </c>
      <c r="S9" s="249" t="s">
        <v>86</v>
      </c>
      <c r="T9" s="251">
        <f>IF(DATEDIF($F$7,D1,"Y")&lt;18,0,IF(DATEDIF($F$7,C21,"Y")&gt;(IF($C$10="féminin",63,64)),0,1.1%))</f>
        <v>0</v>
      </c>
      <c r="U9" s="252"/>
      <c r="W9" s="181"/>
      <c r="Y9" s="75">
        <f>IF(G13="à choisir",0,IF(AND(Z6="simplifiée",'PA 1'!Z6="simplifiée",'PA 2'!Z6="simplifiée",'PA 3'!Z6="simplifiée",'PA 4'!Z6="simplifiée",'PA 6'!Z6="simplifiée",'PA 7'!Z6="simplifiée",'PA 8'!Z6="simplifiée",'PA 9'!Z6="simplifiée"),IF(DATEDIF($F$7,D21,"Y")&lt;17,0%,5%),0%))</f>
        <v>0</v>
      </c>
      <c r="Z9" s="59"/>
      <c r="AB9" s="59" t="s">
        <v>87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88</v>
      </c>
      <c r="C10" s="405" t="s">
        <v>66</v>
      </c>
      <c r="E10" s="2" t="str">
        <f>IF(C16="Salaire horaire","Avez-vous 2 différents sal. horaire?","")</f>
        <v/>
      </c>
      <c r="G10" s="427"/>
      <c r="H10" s="168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4" t="str">
        <f>IF($C$16="Salaire horaire",M8-M9,"")</f>
        <v/>
      </c>
      <c r="N10" s="2" t="str">
        <f>IF(C16="Salaire horaire","1 nuit correspond à","")</f>
        <v/>
      </c>
      <c r="P10" s="264"/>
      <c r="Q10" s="2" t="str">
        <f>IF(C16="Salaire horaire","heures","")</f>
        <v/>
      </c>
      <c r="S10" s="249"/>
      <c r="T10" s="251"/>
      <c r="U10" s="252"/>
      <c r="W10" s="1"/>
      <c r="X10" s="6" t="s">
        <v>89</v>
      </c>
      <c r="Y10" s="6" t="s">
        <v>90</v>
      </c>
      <c r="Z10" s="64" t="s">
        <v>91</v>
      </c>
      <c r="AB10" s="59" t="s">
        <v>92</v>
      </c>
      <c r="AD10" s="59" t="e">
        <f>ROUND(M8/L7,0)</f>
        <v>#DIV/0!</v>
      </c>
    </row>
    <row r="11" spans="1:35" s="2" customFormat="1" ht="13.5" customHeight="1" x14ac:dyDescent="0.2">
      <c r="A11" s="2" t="s">
        <v>93</v>
      </c>
      <c r="C11" s="405"/>
      <c r="E11" s="2" t="s">
        <v>94</v>
      </c>
      <c r="G11" s="405" t="s">
        <v>66</v>
      </c>
      <c r="S11" s="249" t="s">
        <v>95</v>
      </c>
      <c r="T11" s="407"/>
      <c r="U11" s="253" t="s">
        <v>96</v>
      </c>
      <c r="W11" s="1"/>
      <c r="X11" s="2" t="s">
        <v>66</v>
      </c>
      <c r="Y11" s="2" t="str">
        <f>IF(C16="Salaire mensuel","oui","")</f>
        <v/>
      </c>
      <c r="Z11" s="179">
        <f>IF(G13="simplifiée",126.8%,0)</f>
        <v>0</v>
      </c>
      <c r="AB11" s="59" t="s">
        <v>97</v>
      </c>
      <c r="AD11" s="59"/>
    </row>
    <row r="12" spans="1:35" s="2" customFormat="1" ht="13.5" customHeight="1" x14ac:dyDescent="0.2">
      <c r="A12" s="2" t="s">
        <v>98</v>
      </c>
      <c r="C12" s="405"/>
      <c r="E12" s="2" t="s">
        <v>99</v>
      </c>
      <c r="G12" s="405" t="s">
        <v>66</v>
      </c>
      <c r="I12" s="2" t="str">
        <f>IF(G10="oui","Taux d'occupation II","")</f>
        <v/>
      </c>
      <c r="L12" s="217"/>
      <c r="M12" s="242">
        <f>42*L12</f>
        <v>0</v>
      </c>
      <c r="S12" s="249"/>
      <c r="T12" s="1"/>
      <c r="U12" s="250"/>
      <c r="W12" s="1"/>
      <c r="X12" s="2" t="s">
        <v>100</v>
      </c>
      <c r="Y12" s="2" t="str">
        <f>IF(C16="Salaire mensuel","non","")</f>
        <v/>
      </c>
      <c r="Z12" s="179">
        <f>IF(AND(G13="ordinaire",T15=0,T16=0),119.9%,0)</f>
        <v>0</v>
      </c>
      <c r="AA12" s="59"/>
      <c r="AB12" s="59" t="s">
        <v>101</v>
      </c>
      <c r="AC12" s="64" t="s">
        <v>102</v>
      </c>
      <c r="AD12" s="59"/>
    </row>
    <row r="13" spans="1:35" s="2" customFormat="1" ht="12.75" customHeight="1" x14ac:dyDescent="0.2">
      <c r="A13" s="2" t="s">
        <v>103</v>
      </c>
      <c r="C13" s="405"/>
      <c r="E13" s="2" t="s">
        <v>104</v>
      </c>
      <c r="G13" s="405" t="s">
        <v>66</v>
      </c>
      <c r="I13" s="5" t="str">
        <f>IF(G10="oui","Salaire horaire II (avec Suppl. vacances)","")</f>
        <v/>
      </c>
      <c r="L13" s="4"/>
      <c r="M13" s="245"/>
      <c r="S13" s="249" t="s">
        <v>105</v>
      </c>
      <c r="T13" s="408"/>
      <c r="U13" s="253" t="s">
        <v>96</v>
      </c>
      <c r="W13" s="68"/>
      <c r="X13" s="2" t="s">
        <v>106</v>
      </c>
      <c r="Y13" s="2">
        <f>IF(C17="oui",M8/12,0)</f>
        <v>0</v>
      </c>
      <c r="Z13" s="179">
        <f>IF(OR(T15&gt;0,T16&gt;0),129.2%,0)</f>
        <v>0</v>
      </c>
      <c r="AA13" s="59"/>
      <c r="AB13" s="59" t="s">
        <v>107</v>
      </c>
      <c r="AC13" s="59" t="s">
        <v>76</v>
      </c>
      <c r="AD13" s="59"/>
    </row>
    <row r="14" spans="1:35" s="2" customFormat="1" ht="12.75" customHeight="1" x14ac:dyDescent="0.2">
      <c r="A14" s="2" t="s">
        <v>108</v>
      </c>
      <c r="C14" s="409"/>
      <c r="E14" s="2" t="s">
        <v>109</v>
      </c>
      <c r="F14" s="452"/>
      <c r="G14" s="452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3" t="str">
        <f>IF(G10="oui",M13/(1+L14)*L14,"")</f>
        <v/>
      </c>
      <c r="S14" s="254"/>
      <c r="T14" s="1"/>
      <c r="U14" s="250"/>
      <c r="W14" s="68"/>
      <c r="Y14" s="151">
        <f>M8</f>
        <v>0</v>
      </c>
      <c r="Z14" s="179">
        <f>SUM(Z11:Z13)</f>
        <v>0</v>
      </c>
      <c r="AA14" s="59"/>
      <c r="AB14" s="58" t="s">
        <v>110</v>
      </c>
      <c r="AC14" s="59" t="s">
        <v>83</v>
      </c>
      <c r="AD14" s="59"/>
    </row>
    <row r="15" spans="1:35" s="2" customFormat="1" ht="12.75" customHeight="1" x14ac:dyDescent="0.2">
      <c r="A15" s="2" t="s">
        <v>111</v>
      </c>
      <c r="C15" s="409"/>
      <c r="E15" s="2" t="s">
        <v>112</v>
      </c>
      <c r="F15" s="452"/>
      <c r="G15" s="452"/>
      <c r="I15" s="5" t="str">
        <f>IF(G10="oui","Salaire horaire II (sans Suppl. vacances)","")</f>
        <v/>
      </c>
      <c r="M15" s="244" t="str">
        <f>IF(G10="oui",M13-M14,"")</f>
        <v/>
      </c>
      <c r="S15" s="249" t="s">
        <v>113</v>
      </c>
      <c r="T15" s="410"/>
      <c r="U15" s="255" t="s">
        <v>114</v>
      </c>
      <c r="W15" s="1"/>
      <c r="Y15" s="2">
        <f>SUM(Y13:Y14)</f>
        <v>0</v>
      </c>
      <c r="Z15" s="59"/>
      <c r="AA15" s="59"/>
      <c r="AB15" s="59" t="s">
        <v>115</v>
      </c>
      <c r="AD15" s="59"/>
    </row>
    <row r="16" spans="1:35" s="2" customFormat="1" ht="12.75" customHeight="1" thickBot="1" x14ac:dyDescent="0.25">
      <c r="A16" s="2" t="s">
        <v>116</v>
      </c>
      <c r="C16" s="405" t="s">
        <v>66</v>
      </c>
      <c r="E16" s="2" t="s">
        <v>117</v>
      </c>
      <c r="F16" s="452"/>
      <c r="G16" s="452"/>
      <c r="S16" s="256" t="s">
        <v>118</v>
      </c>
      <c r="T16" s="411"/>
      <c r="U16" s="257" t="s">
        <v>119</v>
      </c>
      <c r="W16" s="1"/>
      <c r="Z16" s="59"/>
      <c r="AA16" s="59"/>
      <c r="AB16" s="58" t="s">
        <v>120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27"/>
      <c r="D17" s="168" t="str">
        <f>IF(C17&gt;1,"",IF(A17="13ème salaire","à choisir",""))</f>
        <v/>
      </c>
      <c r="H17" s="167"/>
      <c r="W17" s="1"/>
      <c r="X17" s="59"/>
      <c r="Y17" s="59"/>
      <c r="Z17" s="59"/>
      <c r="AA17" s="59"/>
      <c r="AB17" s="59" t="s">
        <v>121</v>
      </c>
      <c r="AC17" s="59"/>
      <c r="AD17" s="59"/>
    </row>
    <row r="18" spans="1:37" s="2" customFormat="1" x14ac:dyDescent="0.2">
      <c r="H18" s="167"/>
      <c r="M18" s="167"/>
      <c r="S18" s="469" t="s">
        <v>122</v>
      </c>
      <c r="T18" s="470"/>
      <c r="U18" s="471"/>
      <c r="V18" s="334"/>
      <c r="X18" s="153"/>
      <c r="Y18" s="154"/>
      <c r="Z18" s="59"/>
      <c r="AA18" s="59"/>
      <c r="AB18" s="2" t="s">
        <v>123</v>
      </c>
      <c r="AD18" s="59"/>
      <c r="AE18" s="59"/>
    </row>
    <row r="19" spans="1:37" s="2" customFormat="1" ht="15" x14ac:dyDescent="0.25">
      <c r="A19" s="41" t="s">
        <v>124</v>
      </c>
      <c r="B19" s="41"/>
      <c r="C19" s="52"/>
      <c r="D19" s="52"/>
      <c r="E19" s="52"/>
      <c r="F19" s="52"/>
      <c r="G19" s="52"/>
      <c r="H19" s="52"/>
      <c r="I19" s="41" t="s">
        <v>124</v>
      </c>
      <c r="J19" s="41"/>
      <c r="K19" s="52"/>
      <c r="L19" s="52"/>
      <c r="M19" s="52"/>
      <c r="N19" s="52"/>
      <c r="O19" s="52"/>
      <c r="P19" s="52"/>
      <c r="Q19" s="52"/>
      <c r="S19" s="258"/>
      <c r="U19" s="259"/>
      <c r="X19" s="153"/>
      <c r="Y19" s="154"/>
      <c r="Z19" s="59"/>
      <c r="AA19" s="59"/>
      <c r="AB19" s="59" t="s">
        <v>125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2"/>
      <c r="U20" s="463"/>
      <c r="V20" s="404"/>
      <c r="X20" s="153"/>
      <c r="Y20" s="154"/>
      <c r="Z20" s="59"/>
      <c r="AA20" s="59"/>
      <c r="AB20" s="59"/>
      <c r="AD20" s="59"/>
      <c r="AE20" s="59"/>
    </row>
    <row r="21" spans="1:37" s="2" customFormat="1" ht="12" x14ac:dyDescent="0.2">
      <c r="A21" s="306">
        <f>D1</f>
        <v>45657</v>
      </c>
      <c r="B21" s="265"/>
      <c r="C21" s="82">
        <v>45292</v>
      </c>
      <c r="D21" s="82">
        <v>45323</v>
      </c>
      <c r="E21" s="82">
        <v>45352</v>
      </c>
      <c r="F21" s="82">
        <v>45383</v>
      </c>
      <c r="G21" s="82">
        <v>45413</v>
      </c>
      <c r="H21" s="69">
        <v>45444</v>
      </c>
      <c r="I21" s="306">
        <f t="shared" ref="I21:I52" si="0">A21</f>
        <v>45657</v>
      </c>
      <c r="J21" s="265"/>
      <c r="K21" s="82">
        <v>45474</v>
      </c>
      <c r="L21" s="82">
        <v>45505</v>
      </c>
      <c r="M21" s="82">
        <v>45536</v>
      </c>
      <c r="N21" s="82">
        <v>45566</v>
      </c>
      <c r="O21" s="82">
        <v>45597</v>
      </c>
      <c r="P21" s="69">
        <v>45627</v>
      </c>
      <c r="Q21" s="97" t="s">
        <v>126</v>
      </c>
      <c r="S21" s="461"/>
      <c r="T21" s="462"/>
      <c r="U21" s="463"/>
      <c r="V21" s="404"/>
      <c r="W21" s="2">
        <f>IF(S20="Hinweis: Wenn der AHV Freibetrag nicht überschritten wird, muss ein Lohnausweis erstellt werden!",1,IF(S20=0,0,5))</f>
        <v>0</v>
      </c>
      <c r="X21" s="153"/>
      <c r="Y21" s="154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07" t="str">
        <f>IF($C$16="Salaire horaire","",IF(C16="à choisir","","Salaire mensuel"))</f>
        <v/>
      </c>
      <c r="B22" s="266" t="str">
        <f>IF(A22="Salaire mensuel","CHF"," ")</f>
        <v xml:space="preserve"> </v>
      </c>
      <c r="C22" s="281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1">
        <f t="shared" si="1"/>
        <v>0</v>
      </c>
      <c r="E22" s="281">
        <f t="shared" si="1"/>
        <v>0</v>
      </c>
      <c r="F22" s="281">
        <f t="shared" si="1"/>
        <v>0</v>
      </c>
      <c r="G22" s="281">
        <f t="shared" si="1"/>
        <v>0</v>
      </c>
      <c r="H22" s="282">
        <f t="shared" si="1"/>
        <v>0</v>
      </c>
      <c r="I22" s="308" t="str">
        <f t="shared" si="0"/>
        <v/>
      </c>
      <c r="J22" s="266" t="str">
        <f>IF(I22="Salaire mensuel","CHF"," ")</f>
        <v xml:space="preserve"> </v>
      </c>
      <c r="K22" s="281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2">
        <f t="shared" si="2"/>
        <v>0</v>
      </c>
      <c r="Q22" s="298">
        <f t="shared" ref="Q22:Q37" si="3">ROUND((SUM(C22:H22)+SUM(K22:P22))*20,0)/20</f>
        <v>0</v>
      </c>
      <c r="S22" s="461"/>
      <c r="T22" s="462"/>
      <c r="U22" s="463"/>
      <c r="V22" s="404"/>
      <c r="X22" s="153"/>
      <c r="Y22" s="154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07" t="str">
        <f>IF($C$16="Salaire horaire","",(IF($C$17="oui","13. Salaire mensuel","")))</f>
        <v/>
      </c>
      <c r="B23" s="266" t="str">
        <f>IF(A23="13. Salaire mensuel","CHF"," ")</f>
        <v xml:space="preserve"> </v>
      </c>
      <c r="C23" s="281">
        <f>IF(OR($C$16="Salaire horaire",$C$16="à choisir"),0,(IF($C$17="oui",(C$22+C32+C33)/12,"")))</f>
        <v>0</v>
      </c>
      <c r="D23" s="283">
        <f t="shared" ref="D23:H23" si="4">IF(OR($C$16="Salaire horaire",$C$16="à choisir"),0,(IF($C$17="oui",(D$22+D32+D33)/12,"")))</f>
        <v>0</v>
      </c>
      <c r="E23" s="283">
        <f t="shared" si="4"/>
        <v>0</v>
      </c>
      <c r="F23" s="283">
        <f t="shared" si="4"/>
        <v>0</v>
      </c>
      <c r="G23" s="283">
        <f t="shared" si="4"/>
        <v>0</v>
      </c>
      <c r="H23" s="282">
        <f t="shared" si="4"/>
        <v>0</v>
      </c>
      <c r="I23" s="308" t="str">
        <f t="shared" si="0"/>
        <v/>
      </c>
      <c r="J23" s="266" t="str">
        <f>IF(I23="13. Salaire mensuel","CHF"," ")</f>
        <v xml:space="preserve"> </v>
      </c>
      <c r="K23" s="283">
        <f t="shared" ref="K23:P23" si="5">IF(OR($C$16="Salaire horaire",$C$16="à choisir"),0,(IF($C$17="oui",(K$22+K32+K33)/12,"")))</f>
        <v>0</v>
      </c>
      <c r="L23" s="283">
        <f t="shared" si="5"/>
        <v>0</v>
      </c>
      <c r="M23" s="283">
        <f t="shared" si="5"/>
        <v>0</v>
      </c>
      <c r="N23" s="299">
        <f t="shared" si="5"/>
        <v>0</v>
      </c>
      <c r="O23" s="283">
        <f t="shared" si="5"/>
        <v>0</v>
      </c>
      <c r="P23" s="282">
        <f t="shared" si="5"/>
        <v>0</v>
      </c>
      <c r="Q23" s="236">
        <f t="shared" si="3"/>
        <v>0</v>
      </c>
      <c r="S23" s="258"/>
      <c r="U23" s="259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0" t="str">
        <f>IF(G11="oui","Nombre d'heures 
de garde","")</f>
        <v/>
      </c>
      <c r="B24" s="369" t="str">
        <f>IF(A24="Nombre d'heures 
de garde","h"," ")</f>
        <v xml:space="preserve"> </v>
      </c>
      <c r="C24" s="283"/>
      <c r="D24" s="283"/>
      <c r="E24" s="283"/>
      <c r="F24" s="283"/>
      <c r="G24" s="283"/>
      <c r="H24" s="282"/>
      <c r="I24" s="370" t="str">
        <f t="shared" si="0"/>
        <v/>
      </c>
      <c r="J24" s="369" t="str">
        <f>B24</f>
        <v xml:space="preserve"> </v>
      </c>
      <c r="K24" s="283"/>
      <c r="L24" s="283"/>
      <c r="M24" s="283"/>
      <c r="N24" s="283"/>
      <c r="O24" s="283"/>
      <c r="P24" s="282"/>
      <c r="Q24" s="300">
        <f t="shared" si="3"/>
        <v>0</v>
      </c>
      <c r="S24" s="461">
        <f>IF(OR(AND(Z6="simplifiée",'PA 1'!Z6="simplifiée",'PA 3'!Z6="simplifiée",'PA 4'!Z6="simplifiée",'PA 2'!Z6="simplifiée",'PA 6'!Z6="simplifiée",'PA 7'!Z6="simplifiée",'PA 8'!Z6="simplifiée",'PA 9'!Z6="simplifiée"),(AND(Z7="ordinaire",'PA 1'!Z7="ordinaire",'PA 3'!Z7="ordinaire",'PA 4'!Z7="ordinaire",'PA 2'!Z7="ordinaire",'PA 6'!Z7="ordinaire",'PA 7'!Z7="ordinaire",'PA 8'!Z7="ordinaire",'PA 9'!Z7="ordinaire"))),0,"ATTENTION: la même procédure de décompte AVS doit être utilisée pour tous les prestataires d’assistance!")</f>
        <v>0</v>
      </c>
      <c r="T24" s="462"/>
      <c r="U24" s="463"/>
      <c r="V24" s="404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0" t="str">
        <f>IF(AND(C16="Salaire mensuel",G12="oui"),"Nombre d'engagements de nuit",IF(P10&gt;0.1,"Nombre d'engagements de nuit",""))</f>
        <v/>
      </c>
      <c r="B25" s="266" t="str">
        <f>IF(A25="Nombre d'engagements de nuit","Nb."," ")</f>
        <v xml:space="preserve"> </v>
      </c>
      <c r="C25" s="284"/>
      <c r="D25" s="284"/>
      <c r="E25" s="284"/>
      <c r="F25" s="284"/>
      <c r="G25" s="284"/>
      <c r="H25" s="285"/>
      <c r="I25" s="370" t="str">
        <f t="shared" si="0"/>
        <v/>
      </c>
      <c r="J25" s="266" t="str">
        <f>B25</f>
        <v xml:space="preserve"> </v>
      </c>
      <c r="K25" s="284"/>
      <c r="L25" s="284"/>
      <c r="M25" s="284"/>
      <c r="N25" s="284"/>
      <c r="O25" s="284"/>
      <c r="P25" s="301"/>
      <c r="Q25" s="298">
        <f t="shared" si="3"/>
        <v>0</v>
      </c>
      <c r="R25" s="76"/>
      <c r="S25" s="461"/>
      <c r="T25" s="462"/>
      <c r="U25" s="463"/>
      <c r="V25" s="404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08" t="str">
        <f>IF(AND($C$16="Salaire mensuel",$G$12="oui"),"Nombre d'heures",IF(C16="Salaire horaire",IF(G10="oui","Nombre d'heures I","Nombre d'heures"),""))</f>
        <v/>
      </c>
      <c r="B26" s="267" t="str">
        <f>IF(OR(A26="Nombre d'heures Standard",A26="Nombre d'heures",A26="Nombre d'heures I"),"h"," ")</f>
        <v xml:space="preserve"> </v>
      </c>
      <c r="C26" s="283"/>
      <c r="D26" s="283"/>
      <c r="E26" s="283"/>
      <c r="F26" s="283"/>
      <c r="G26" s="283"/>
      <c r="H26" s="282"/>
      <c r="I26" s="308" t="str">
        <f t="shared" si="0"/>
        <v/>
      </c>
      <c r="J26" s="267" t="str">
        <f>IF(OR(I26="Nombre d'heures Standard",I26="Nombre d'heures",I26="Nombre d'heures I"),"h"," ")</f>
        <v xml:space="preserve"> </v>
      </c>
      <c r="K26" s="283"/>
      <c r="L26" s="283"/>
      <c r="M26" s="283"/>
      <c r="N26" s="283"/>
      <c r="O26" s="283"/>
      <c r="P26" s="282"/>
      <c r="Q26" s="300">
        <f t="shared" si="3"/>
        <v>0</v>
      </c>
      <c r="R26" s="76"/>
      <c r="S26" s="461"/>
      <c r="T26" s="462"/>
      <c r="U26" s="463"/>
      <c r="V26" s="404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08" t="str">
        <f>IF($C$16="Salaire horaire",IF(G10="oui","Salaire horaire I","Salaire horaire"),"")</f>
        <v/>
      </c>
      <c r="B27" s="266" t="str">
        <f>IF(OR(A27="Salaire horaire Standard",A27="Salaire horaire",A27="Salaire horaire I"),"CHF"," ")</f>
        <v xml:space="preserve"> </v>
      </c>
      <c r="C27" s="233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3" t="str">
        <f t="shared" si="6"/>
        <v/>
      </c>
      <c r="E27" s="233" t="str">
        <f t="shared" si="6"/>
        <v/>
      </c>
      <c r="F27" s="233" t="str">
        <f t="shared" si="6"/>
        <v/>
      </c>
      <c r="G27" s="233" t="str">
        <f t="shared" si="6"/>
        <v/>
      </c>
      <c r="H27" s="234" t="str">
        <f t="shared" si="6"/>
        <v/>
      </c>
      <c r="I27" s="308" t="str">
        <f t="shared" si="0"/>
        <v/>
      </c>
      <c r="J27" s="266" t="str">
        <f>IF(OR(I27="Salaire horaire Standard",I27="Salaire horaire",I27="Salaire horaire I"),"CHF"," ")</f>
        <v xml:space="preserve"> </v>
      </c>
      <c r="K27" s="233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3" t="str">
        <f t="shared" si="7"/>
        <v/>
      </c>
      <c r="M27" s="233" t="str">
        <f t="shared" si="7"/>
        <v/>
      </c>
      <c r="N27" s="233" t="str">
        <f t="shared" si="7"/>
        <v/>
      </c>
      <c r="O27" s="233" t="str">
        <f t="shared" si="7"/>
        <v/>
      </c>
      <c r="P27" s="234" t="str">
        <f t="shared" si="7"/>
        <v/>
      </c>
      <c r="Q27" s="300">
        <f t="shared" si="3"/>
        <v>0</v>
      </c>
      <c r="R27" s="76"/>
      <c r="S27" s="258"/>
      <c r="T27" s="2"/>
      <c r="U27" s="259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08" t="str">
        <f>IF(G10="oui","Nombre d'heures II","")</f>
        <v/>
      </c>
      <c r="B28" s="267" t="str">
        <f>IF(OR(A28="Nombre d'heures Quali B",A28="Nombre d'heures II"),"h"," ")</f>
        <v xml:space="preserve"> </v>
      </c>
      <c r="C28" s="283"/>
      <c r="D28" s="283"/>
      <c r="E28" s="283"/>
      <c r="F28" s="283"/>
      <c r="G28" s="283"/>
      <c r="H28" s="282"/>
      <c r="I28" s="308" t="str">
        <f t="shared" si="0"/>
        <v/>
      </c>
      <c r="J28" s="267" t="str">
        <f>IF(OR(I28="Nombre d'heures Quali B",I28="Nombre d'heures II"),"h"," ")</f>
        <v xml:space="preserve"> </v>
      </c>
      <c r="K28" s="283"/>
      <c r="L28" s="283"/>
      <c r="M28" s="283"/>
      <c r="N28" s="299"/>
      <c r="O28" s="283"/>
      <c r="P28" s="282"/>
      <c r="Q28" s="300">
        <f t="shared" si="3"/>
        <v>0</v>
      </c>
      <c r="R28" s="78"/>
      <c r="S28" s="461">
        <f>IF(AND(AC6="oui",(G12="oui")),"ATTENTION: le salaire des proches ne doit pas réglé au contributin d'assistance AI",0)</f>
        <v>0</v>
      </c>
      <c r="T28" s="462"/>
      <c r="U28" s="463"/>
      <c r="V28" s="404"/>
      <c r="W28" s="78"/>
      <c r="X28" s="101"/>
      <c r="Y28" s="98"/>
    </row>
    <row r="29" spans="1:37" s="6" customFormat="1" x14ac:dyDescent="0.2">
      <c r="A29" s="308" t="str">
        <f>IF(G10="oui","Salaire horaire II","")</f>
        <v/>
      </c>
      <c r="B29" s="266" t="str">
        <f>IF(OR(A29="Salaire horaire Quali B",A29="Salaire horaire II"),"CHF"," ")</f>
        <v xml:space="preserve"> </v>
      </c>
      <c r="C29" s="233" t="str">
        <f t="shared" ref="C29:H29" si="8">IF($C$16="Salaire horaire",(IF(OR((DATEDIF($F$7,C21,"Y")&lt;20),(DATEDIF($F$7,C21,"Y")&gt;49)),$M$13/110.64%*(C28),$M$13/108.33%*(C28))),"")</f>
        <v/>
      </c>
      <c r="D29" s="233" t="str">
        <f t="shared" si="8"/>
        <v/>
      </c>
      <c r="E29" s="233" t="str">
        <f t="shared" si="8"/>
        <v/>
      </c>
      <c r="F29" s="233" t="str">
        <f t="shared" si="8"/>
        <v/>
      </c>
      <c r="G29" s="233" t="str">
        <f t="shared" si="8"/>
        <v/>
      </c>
      <c r="H29" s="234" t="str">
        <f t="shared" si="8"/>
        <v/>
      </c>
      <c r="I29" s="308" t="str">
        <f t="shared" si="0"/>
        <v/>
      </c>
      <c r="J29" s="266" t="str">
        <f>IF(OR(I29="Salaire horaire Quali B",I29="Salaire horaire II"),"CHF"," ")</f>
        <v xml:space="preserve"> </v>
      </c>
      <c r="K29" s="233" t="str">
        <f t="shared" ref="K29:P29" si="9">IF($C$16="Salaire horaire",(IF(OR((DATEDIF($F$7,K21,"Y")&lt;20),(DATEDIF($F$7,K21,"Y")&gt;49)),$M$13/110.64%*(K28),$M$13/108.33%*(K28))),"")</f>
        <v/>
      </c>
      <c r="L29" s="233" t="str">
        <f t="shared" si="9"/>
        <v/>
      </c>
      <c r="M29" s="233" t="str">
        <f t="shared" si="9"/>
        <v/>
      </c>
      <c r="N29" s="233" t="str">
        <f t="shared" si="9"/>
        <v/>
      </c>
      <c r="O29" s="233" t="str">
        <f t="shared" si="9"/>
        <v/>
      </c>
      <c r="P29" s="234" t="str">
        <f t="shared" si="9"/>
        <v/>
      </c>
      <c r="Q29" s="300">
        <f t="shared" si="3"/>
        <v>0</v>
      </c>
      <c r="R29" s="65"/>
      <c r="S29" s="461"/>
      <c r="T29" s="462"/>
      <c r="U29" s="463"/>
      <c r="V29" s="404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08" t="str">
        <f>IF($C$16="Salaire horaire","Supplément de vacances","")</f>
        <v/>
      </c>
      <c r="B30" s="266" t="str">
        <f>IF(A30="Supplément de vacances","CHF"," ")</f>
        <v xml:space="preserve"> </v>
      </c>
      <c r="C30" s="233">
        <f t="shared" ref="C30:H30" si="10">IF($C$16="Salaire horaire",(ROUND(IF(OR((DATEDIF($F$7,C$21,"Y")&lt;20),(DATEDIF($F$7,C$21,"Y")&gt;49)),(C$27+C$29)*10.64%,(C$27+C$29)*8.33%),2)),)</f>
        <v>0</v>
      </c>
      <c r="D30" s="233">
        <f t="shared" si="10"/>
        <v>0</v>
      </c>
      <c r="E30" s="233">
        <f t="shared" si="10"/>
        <v>0</v>
      </c>
      <c r="F30" s="233">
        <f t="shared" si="10"/>
        <v>0</v>
      </c>
      <c r="G30" s="233">
        <f t="shared" si="10"/>
        <v>0</v>
      </c>
      <c r="H30" s="234">
        <f t="shared" si="10"/>
        <v>0</v>
      </c>
      <c r="I30" s="308" t="str">
        <f t="shared" si="0"/>
        <v/>
      </c>
      <c r="J30" s="266" t="str">
        <f>IF(I30="Supplément de vacances","CHF"," ")</f>
        <v xml:space="preserve"> </v>
      </c>
      <c r="K30" s="233">
        <f t="shared" ref="K30:P30" si="11">IF($C$16="Salaire horaire",(ROUND(IF(OR((DATEDIF($F$7,K$21,"Y")&lt;20),(DATEDIF($F$7,K$21,"Y")&gt;49)),(K$27+K$29)*10.64%,(K$27+K$29)*8.33%),2)),)</f>
        <v>0</v>
      </c>
      <c r="L30" s="233">
        <f t="shared" si="11"/>
        <v>0</v>
      </c>
      <c r="M30" s="233">
        <f t="shared" si="11"/>
        <v>0</v>
      </c>
      <c r="N30" s="233">
        <f t="shared" si="11"/>
        <v>0</v>
      </c>
      <c r="O30" s="233">
        <f t="shared" si="11"/>
        <v>0</v>
      </c>
      <c r="P30" s="234">
        <f t="shared" si="11"/>
        <v>0</v>
      </c>
      <c r="Q30" s="300">
        <f t="shared" si="3"/>
        <v>0</v>
      </c>
      <c r="R30" s="65"/>
      <c r="S30" s="461"/>
      <c r="T30" s="462"/>
      <c r="U30" s="463"/>
      <c r="V30" s="404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09" t="s">
        <v>127</v>
      </c>
      <c r="B31" s="267" t="s">
        <v>128</v>
      </c>
      <c r="C31" s="412"/>
      <c r="D31" s="413"/>
      <c r="E31" s="413"/>
      <c r="F31" s="413"/>
      <c r="G31" s="413"/>
      <c r="H31" s="414"/>
      <c r="I31" s="309" t="str">
        <f t="shared" si="0"/>
        <v>Repas &amp; logement</v>
      </c>
      <c r="J31" s="267" t="s">
        <v>128</v>
      </c>
      <c r="K31" s="412"/>
      <c r="L31" s="412"/>
      <c r="M31" s="412"/>
      <c r="N31" s="412"/>
      <c r="O31" s="412"/>
      <c r="P31" s="414"/>
      <c r="Q31" s="83">
        <f t="shared" si="3"/>
        <v>0</v>
      </c>
      <c r="R31" s="65"/>
      <c r="S31" s="457">
        <f>IF(AND(M7+M12&gt;8,T11=0),"Remarque: à partir de 8 heures de travail effectives par semaine, l’employé doit avoir souscrit une assurance-accidents non professionnels!",0)</f>
        <v>0</v>
      </c>
      <c r="T31" s="458"/>
      <c r="U31" s="459"/>
      <c r="V31" s="403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09" t="s">
        <v>129</v>
      </c>
      <c r="B32" s="268" t="s">
        <v>128</v>
      </c>
      <c r="C32" s="412"/>
      <c r="D32" s="413"/>
      <c r="E32" s="413"/>
      <c r="F32" s="413"/>
      <c r="G32" s="413"/>
      <c r="H32" s="415"/>
      <c r="I32" s="309" t="str">
        <f t="shared" si="0"/>
        <v>Oblig. de verser le salaire (art. 324a CO) (soumis à l'AVS)</v>
      </c>
      <c r="J32" s="268" t="s">
        <v>128</v>
      </c>
      <c r="K32" s="413"/>
      <c r="L32" s="413"/>
      <c r="M32" s="413"/>
      <c r="N32" s="416"/>
      <c r="O32" s="413"/>
      <c r="P32" s="415"/>
      <c r="Q32" s="70">
        <f t="shared" si="3"/>
        <v>0</v>
      </c>
      <c r="R32" s="65"/>
      <c r="S32" s="457"/>
      <c r="T32" s="458"/>
      <c r="U32" s="459"/>
      <c r="V32" s="403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09" t="s">
        <v>130</v>
      </c>
      <c r="B33" s="268" t="s">
        <v>128</v>
      </c>
      <c r="C33" s="412"/>
      <c r="D33" s="413"/>
      <c r="E33" s="413"/>
      <c r="F33" s="413"/>
      <c r="G33" s="413"/>
      <c r="H33" s="415"/>
      <c r="I33" s="309" t="str">
        <f t="shared" si="0"/>
        <v>Oblig. de verser le salaire
(soumis à l'AVS)</v>
      </c>
      <c r="J33" s="268" t="s">
        <v>128</v>
      </c>
      <c r="K33" s="413"/>
      <c r="L33" s="413"/>
      <c r="M33" s="413"/>
      <c r="N33" s="416"/>
      <c r="O33" s="413"/>
      <c r="P33" s="415"/>
      <c r="Q33" s="70">
        <f t="shared" si="3"/>
        <v>0</v>
      </c>
      <c r="R33" s="65"/>
      <c r="S33" s="457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8"/>
      <c r="U33" s="459"/>
      <c r="V33" s="403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36" x14ac:dyDescent="0.2">
      <c r="A34" s="310" t="s">
        <v>131</v>
      </c>
      <c r="B34" s="269" t="s">
        <v>128</v>
      </c>
      <c r="C34" s="412"/>
      <c r="D34" s="413"/>
      <c r="E34" s="413"/>
      <c r="F34" s="413"/>
      <c r="G34" s="413"/>
      <c r="H34" s="415"/>
      <c r="I34" s="310" t="str">
        <f t="shared" si="0"/>
        <v>Allocation maternité / militaire (soumis à l'AVS)</v>
      </c>
      <c r="J34" s="269" t="s">
        <v>128</v>
      </c>
      <c r="K34" s="413"/>
      <c r="L34" s="413"/>
      <c r="M34" s="413"/>
      <c r="N34" s="416"/>
      <c r="O34" s="413"/>
      <c r="P34" s="415"/>
      <c r="Q34" s="70">
        <f t="shared" si="3"/>
        <v>0</v>
      </c>
      <c r="R34" s="57"/>
      <c r="S34" s="457"/>
      <c r="T34" s="458"/>
      <c r="U34" s="459"/>
      <c r="V34" s="403"/>
      <c r="W34" s="2">
        <f>IF(S33&gt;1,1,0)</f>
        <v>0</v>
      </c>
      <c r="X34" s="101"/>
      <c r="Y34" s="110">
        <f t="shared" ref="Y34:AD34" si="12">C21</f>
        <v>45292</v>
      </c>
      <c r="Z34" s="110">
        <f t="shared" si="12"/>
        <v>45323</v>
      </c>
      <c r="AA34" s="110">
        <f t="shared" si="12"/>
        <v>45352</v>
      </c>
      <c r="AB34" s="110">
        <f t="shared" si="12"/>
        <v>45383</v>
      </c>
      <c r="AC34" s="110">
        <f t="shared" si="12"/>
        <v>45413</v>
      </c>
      <c r="AD34" s="110">
        <f t="shared" si="12"/>
        <v>45444</v>
      </c>
      <c r="AE34" s="110">
        <f t="shared" ref="AE34:AJ34" si="13">K21</f>
        <v>45474</v>
      </c>
      <c r="AF34" s="110">
        <f t="shared" si="13"/>
        <v>45505</v>
      </c>
      <c r="AG34" s="110">
        <f t="shared" si="13"/>
        <v>45536</v>
      </c>
      <c r="AH34" s="110">
        <f t="shared" si="13"/>
        <v>45566</v>
      </c>
      <c r="AI34" s="110">
        <f t="shared" si="13"/>
        <v>45597</v>
      </c>
      <c r="AJ34" s="110">
        <f t="shared" si="13"/>
        <v>45627</v>
      </c>
    </row>
    <row r="35" spans="1:37" s="2" customFormat="1" ht="24" x14ac:dyDescent="0.2">
      <c r="A35" s="310" t="s">
        <v>132</v>
      </c>
      <c r="B35" s="269" t="s">
        <v>128</v>
      </c>
      <c r="C35" s="412"/>
      <c r="D35" s="413"/>
      <c r="E35" s="413"/>
      <c r="F35" s="413"/>
      <c r="G35" s="413"/>
      <c r="H35" s="415"/>
      <c r="I35" s="310" t="str">
        <f t="shared" si="0"/>
        <v>Indemnité d'assurance
(non soumis AVS)</v>
      </c>
      <c r="J35" s="269" t="s">
        <v>128</v>
      </c>
      <c r="K35" s="413"/>
      <c r="L35" s="413"/>
      <c r="M35" s="413"/>
      <c r="N35" s="416"/>
      <c r="O35" s="413"/>
      <c r="P35" s="415"/>
      <c r="Q35" s="70">
        <f t="shared" si="3"/>
        <v>0</v>
      </c>
      <c r="R35" s="57"/>
      <c r="S35" s="457"/>
      <c r="T35" s="458"/>
      <c r="U35" s="459"/>
      <c r="V35" s="403"/>
      <c r="W35" s="57"/>
      <c r="X35" s="101" t="s">
        <v>133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08" t="s">
        <v>134</v>
      </c>
      <c r="B36" s="267" t="s">
        <v>128</v>
      </c>
      <c r="C36" s="412"/>
      <c r="D36" s="413"/>
      <c r="E36" s="413"/>
      <c r="F36" s="413"/>
      <c r="G36" s="413"/>
      <c r="H36" s="415"/>
      <c r="I36" s="308" t="str">
        <f t="shared" si="0"/>
        <v>Allocations familiales</v>
      </c>
      <c r="J36" s="267" t="s">
        <v>128</v>
      </c>
      <c r="K36" s="413"/>
      <c r="L36" s="413"/>
      <c r="M36" s="413"/>
      <c r="N36" s="416"/>
      <c r="O36" s="413"/>
      <c r="P36" s="415"/>
      <c r="Q36" s="70">
        <f t="shared" si="3"/>
        <v>0</v>
      </c>
      <c r="R36" s="57"/>
      <c r="S36" s="457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8"/>
      <c r="U36" s="459"/>
      <c r="V36" s="403"/>
      <c r="W36" s="57"/>
      <c r="X36" s="105" t="s">
        <v>135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1" t="s">
        <v>136</v>
      </c>
      <c r="B37" s="270" t="s">
        <v>128</v>
      </c>
      <c r="C37" s="286">
        <f t="shared" ref="C37:H37" si="17">IF($C$16="Salaire horaire",SUM(C27,C29,C30,C31,C32,C33,C34,C35,C36),SUM(C22,C23,C30,C31,C32,C33,C34,C35,C36))</f>
        <v>0</v>
      </c>
      <c r="D37" s="286">
        <f t="shared" si="17"/>
        <v>0</v>
      </c>
      <c r="E37" s="286">
        <f t="shared" si="17"/>
        <v>0</v>
      </c>
      <c r="F37" s="286">
        <f t="shared" si="17"/>
        <v>0</v>
      </c>
      <c r="G37" s="286">
        <f t="shared" si="17"/>
        <v>0</v>
      </c>
      <c r="H37" s="238">
        <f t="shared" si="17"/>
        <v>0</v>
      </c>
      <c r="I37" s="311" t="str">
        <f t="shared" si="0"/>
        <v>Salaire brut</v>
      </c>
      <c r="J37" s="270" t="s">
        <v>128</v>
      </c>
      <c r="K37" s="286">
        <f t="shared" ref="K37:P37" si="18">IF($C$16="Salaire horaire",SUM(K27,K29,K30,K31,K32,K33,K34,K35,K36),SUM(K22,K23,K30,K31,K32,K33,K34,K35,K36))</f>
        <v>0</v>
      </c>
      <c r="L37" s="286">
        <f t="shared" si="18"/>
        <v>0</v>
      </c>
      <c r="M37" s="286">
        <f t="shared" si="18"/>
        <v>0</v>
      </c>
      <c r="N37" s="302">
        <f t="shared" si="18"/>
        <v>0</v>
      </c>
      <c r="O37" s="286">
        <f t="shared" si="18"/>
        <v>0</v>
      </c>
      <c r="P37" s="238">
        <f t="shared" si="18"/>
        <v>0</v>
      </c>
      <c r="Q37" s="238">
        <f t="shared" si="3"/>
        <v>0</v>
      </c>
      <c r="R37" s="57"/>
      <c r="S37" s="457"/>
      <c r="T37" s="458"/>
      <c r="U37" s="459"/>
      <c r="V37" s="403"/>
      <c r="W37" s="2">
        <f>IF(S36&gt;1,5,0)</f>
        <v>0</v>
      </c>
      <c r="X37" s="101" t="s">
        <v>137</v>
      </c>
      <c r="Y37" s="163">
        <f t="shared" ref="Y37:AD37" si="19">IF(Y35=0,0,IF($C$16="Salaire horaire",SUM(C27,C29,C30,C31,C32,C33,C34),SUM(C22,C23,C30,C31,C32,C33,C34)))</f>
        <v>0</v>
      </c>
      <c r="Z37" s="163">
        <f t="shared" si="19"/>
        <v>0</v>
      </c>
      <c r="AA37" s="163">
        <f t="shared" si="19"/>
        <v>0</v>
      </c>
      <c r="AB37" s="163">
        <f t="shared" si="19"/>
        <v>0</v>
      </c>
      <c r="AC37" s="163">
        <f t="shared" si="19"/>
        <v>0</v>
      </c>
      <c r="AD37" s="163">
        <f t="shared" si="19"/>
        <v>0</v>
      </c>
      <c r="AE37" s="163">
        <f t="shared" ref="AE37:AJ37" si="20">IF(AE35=0,0,IF($C$16="Salaire horaire",SUM(K27,K29,K30,K31,K32,K33,K34),SUM(K22,K23,K30,K31,K32,K33,K34)))</f>
        <v>0</v>
      </c>
      <c r="AF37" s="163">
        <f t="shared" si="20"/>
        <v>0</v>
      </c>
      <c r="AG37" s="163">
        <f t="shared" si="20"/>
        <v>0</v>
      </c>
      <c r="AH37" s="163">
        <f t="shared" si="20"/>
        <v>0</v>
      </c>
      <c r="AI37" s="163">
        <f t="shared" si="20"/>
        <v>0</v>
      </c>
      <c r="AJ37" s="163">
        <f t="shared" si="20"/>
        <v>0</v>
      </c>
    </row>
    <row r="38" spans="1:37" s="2" customFormat="1" ht="12" x14ac:dyDescent="0.2">
      <c r="A38" s="308" t="s">
        <v>138</v>
      </c>
      <c r="B38" s="271" t="s">
        <v>128</v>
      </c>
      <c r="C38" s="430">
        <f t="shared" ref="C38:H38" si="21">Y42</f>
        <v>0</v>
      </c>
      <c r="D38" s="430">
        <f t="shared" si="21"/>
        <v>0</v>
      </c>
      <c r="E38" s="430">
        <f t="shared" si="21"/>
        <v>0</v>
      </c>
      <c r="F38" s="430">
        <f t="shared" si="21"/>
        <v>0</v>
      </c>
      <c r="G38" s="430">
        <f t="shared" si="21"/>
        <v>0</v>
      </c>
      <c r="H38" s="431">
        <f t="shared" si="21"/>
        <v>0</v>
      </c>
      <c r="I38" s="308" t="str">
        <f t="shared" si="0"/>
        <v>Franchise rentier AVS</v>
      </c>
      <c r="J38" s="271" t="s">
        <v>128</v>
      </c>
      <c r="K38" s="430">
        <f t="shared" ref="K38:P38" si="22">AE42</f>
        <v>0</v>
      </c>
      <c r="L38" s="430">
        <f t="shared" si="22"/>
        <v>0</v>
      </c>
      <c r="M38" s="430">
        <f t="shared" si="22"/>
        <v>0</v>
      </c>
      <c r="N38" s="430">
        <f t="shared" si="22"/>
        <v>0</v>
      </c>
      <c r="O38" s="430">
        <f t="shared" si="22"/>
        <v>0</v>
      </c>
      <c r="P38" s="432">
        <f t="shared" si="22"/>
        <v>0</v>
      </c>
      <c r="Q38" s="303">
        <f>SUM(C38:H38)+SUM(K38:P38)</f>
        <v>0</v>
      </c>
      <c r="R38" s="57"/>
      <c r="S38" s="457"/>
      <c r="T38" s="458"/>
      <c r="U38" s="459"/>
      <c r="V38" s="403"/>
      <c r="W38" s="57"/>
      <c r="X38" s="2" t="s">
        <v>139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1" t="s">
        <v>140</v>
      </c>
      <c r="B39" s="270" t="s">
        <v>128</v>
      </c>
      <c r="C39" s="286">
        <f t="shared" ref="C39:H39" si="24">C37-C36-C35-C38</f>
        <v>0</v>
      </c>
      <c r="D39" s="286">
        <f t="shared" si="24"/>
        <v>0</v>
      </c>
      <c r="E39" s="286">
        <f t="shared" si="24"/>
        <v>0</v>
      </c>
      <c r="F39" s="286">
        <f t="shared" si="24"/>
        <v>0</v>
      </c>
      <c r="G39" s="286">
        <f t="shared" si="24"/>
        <v>0</v>
      </c>
      <c r="H39" s="238">
        <f t="shared" si="24"/>
        <v>0</v>
      </c>
      <c r="I39" s="311" t="str">
        <f t="shared" si="0"/>
        <v>AVS montant brut</v>
      </c>
      <c r="J39" s="270" t="s">
        <v>128</v>
      </c>
      <c r="K39" s="286">
        <f t="shared" ref="K39:P39" si="25">K37-K36-K35-K38</f>
        <v>0</v>
      </c>
      <c r="L39" s="286">
        <f t="shared" si="25"/>
        <v>0</v>
      </c>
      <c r="M39" s="286">
        <f t="shared" si="25"/>
        <v>0</v>
      </c>
      <c r="N39" s="302">
        <f t="shared" si="25"/>
        <v>0</v>
      </c>
      <c r="O39" s="286">
        <f t="shared" si="25"/>
        <v>0</v>
      </c>
      <c r="P39" s="238">
        <f t="shared" si="25"/>
        <v>0</v>
      </c>
      <c r="Q39" s="238">
        <f>ROUND((SUM(C39:H39)+SUM(K39:P39))*20,0)/20</f>
        <v>0</v>
      </c>
      <c r="R39" s="79"/>
      <c r="S39" s="457"/>
      <c r="T39" s="458"/>
      <c r="U39" s="459"/>
      <c r="V39" s="403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08" t="str">
        <f>CONCATENATE("AVS/AI/APG ",T8*100,"%")</f>
        <v>AVS/AI/APG 0%</v>
      </c>
      <c r="B40" s="272" t="s">
        <v>128</v>
      </c>
      <c r="C40" s="230">
        <f t="shared" ref="C40:H40" si="26">C$39*-$T$8</f>
        <v>0</v>
      </c>
      <c r="D40" s="230">
        <f t="shared" si="26"/>
        <v>0</v>
      </c>
      <c r="E40" s="230">
        <f t="shared" si="26"/>
        <v>0</v>
      </c>
      <c r="F40" s="230">
        <f t="shared" si="26"/>
        <v>0</v>
      </c>
      <c r="G40" s="230">
        <f t="shared" si="26"/>
        <v>0</v>
      </c>
      <c r="H40" s="231">
        <f t="shared" si="26"/>
        <v>0</v>
      </c>
      <c r="I40" s="322" t="str">
        <f t="shared" si="0"/>
        <v>AVS/AI/APG 0%</v>
      </c>
      <c r="J40" s="272" t="s">
        <v>128</v>
      </c>
      <c r="K40" s="230">
        <f t="shared" ref="K40:P40" si="27">K$39*-$T$8</f>
        <v>0</v>
      </c>
      <c r="L40" s="230">
        <f t="shared" si="27"/>
        <v>0</v>
      </c>
      <c r="M40" s="230">
        <f t="shared" si="27"/>
        <v>0</v>
      </c>
      <c r="N40" s="232">
        <f t="shared" si="27"/>
        <v>0</v>
      </c>
      <c r="O40" s="230">
        <f t="shared" si="27"/>
        <v>0</v>
      </c>
      <c r="P40" s="231">
        <f t="shared" si="27"/>
        <v>0</v>
      </c>
      <c r="Q40" s="235">
        <f t="shared" ref="Q40:Q48" si="28">ROUND((SUM(C40:H40)+SUM(K40:P40))*20,0)/20</f>
        <v>0</v>
      </c>
      <c r="R40" s="65"/>
      <c r="S40" s="474"/>
      <c r="T40" s="475"/>
      <c r="U40" s="476"/>
      <c r="V40" s="403"/>
      <c r="W40" s="65"/>
      <c r="X40" s="2" t="s">
        <v>141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08" t="str">
        <f>CONCATENATE("AC ",T9*100,"%")</f>
        <v>AC 0%</v>
      </c>
      <c r="B41" s="267" t="s">
        <v>128</v>
      </c>
      <c r="C41" s="233">
        <f t="shared" ref="C41:H41" si="30">C$39*(IF(DATEDIF($F$7,$D$1,"Y")&lt;18,0,IF(DATEDIF($F$7,C21,"Y")&gt;(IF($C$10="féminin",63,64)),0,-1.1%)))</f>
        <v>0</v>
      </c>
      <c r="D41" s="233">
        <f t="shared" si="30"/>
        <v>0</v>
      </c>
      <c r="E41" s="233">
        <f t="shared" si="30"/>
        <v>0</v>
      </c>
      <c r="F41" s="233">
        <f t="shared" si="30"/>
        <v>0</v>
      </c>
      <c r="G41" s="233">
        <f t="shared" si="30"/>
        <v>0</v>
      </c>
      <c r="H41" s="234">
        <f t="shared" si="30"/>
        <v>0</v>
      </c>
      <c r="I41" s="322" t="str">
        <f t="shared" si="0"/>
        <v>AC 0%</v>
      </c>
      <c r="J41" s="267" t="s">
        <v>128</v>
      </c>
      <c r="K41" s="233">
        <f t="shared" ref="K41:P41" si="31">K$39*(IF(DATEDIF($F$7,$D$1,"Y")&lt;18,0,IF(DATEDIF($F$7,K21,"Y")&gt;(IF($C$10="féminin",63,64)),0,-1.1%)))</f>
        <v>0</v>
      </c>
      <c r="L41" s="233">
        <f t="shared" si="31"/>
        <v>0</v>
      </c>
      <c r="M41" s="233">
        <f t="shared" si="31"/>
        <v>0</v>
      </c>
      <c r="N41" s="232">
        <f t="shared" si="31"/>
        <v>0</v>
      </c>
      <c r="O41" s="233">
        <f t="shared" si="31"/>
        <v>0</v>
      </c>
      <c r="P41" s="234">
        <f t="shared" si="31"/>
        <v>0</v>
      </c>
      <c r="Q41" s="236">
        <f t="shared" si="28"/>
        <v>0</v>
      </c>
      <c r="R41" s="79"/>
      <c r="S41" s="472"/>
      <c r="T41" s="472"/>
      <c r="U41" s="472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08" t="str">
        <f>IF(T11&lt;0.01,"ANP",(CONCATENATE("ANP ",T11*100,"%")))</f>
        <v>ANP</v>
      </c>
      <c r="B42" s="267" t="s">
        <v>128</v>
      </c>
      <c r="C42" s="412">
        <f t="shared" ref="C42:H42" si="32">(C$37-C$34-C$35-C$36)*-$T$11</f>
        <v>0</v>
      </c>
      <c r="D42" s="412">
        <f t="shared" si="32"/>
        <v>0</v>
      </c>
      <c r="E42" s="412">
        <f t="shared" si="32"/>
        <v>0</v>
      </c>
      <c r="F42" s="412">
        <f t="shared" si="32"/>
        <v>0</v>
      </c>
      <c r="G42" s="412">
        <f t="shared" si="32"/>
        <v>0</v>
      </c>
      <c r="H42" s="414">
        <f t="shared" si="32"/>
        <v>0</v>
      </c>
      <c r="I42" s="322" t="str">
        <f t="shared" si="0"/>
        <v>ANP</v>
      </c>
      <c r="J42" s="267" t="s">
        <v>128</v>
      </c>
      <c r="K42" s="412">
        <f t="shared" ref="K42:P42" si="33">(K$37-K$34-K$35-K$36)*-$T$11</f>
        <v>0</v>
      </c>
      <c r="L42" s="412">
        <f t="shared" si="33"/>
        <v>0</v>
      </c>
      <c r="M42" s="412">
        <f t="shared" si="33"/>
        <v>0</v>
      </c>
      <c r="N42" s="416">
        <f t="shared" si="33"/>
        <v>0</v>
      </c>
      <c r="O42" s="412">
        <f t="shared" si="33"/>
        <v>0</v>
      </c>
      <c r="P42" s="414">
        <f t="shared" si="33"/>
        <v>0</v>
      </c>
      <c r="Q42" s="236">
        <f t="shared" si="28"/>
        <v>0</v>
      </c>
      <c r="R42" s="65"/>
      <c r="S42" s="473"/>
      <c r="T42" s="473"/>
      <c r="U42" s="473"/>
      <c r="V42" s="79"/>
      <c r="W42" s="2">
        <f>IF(S41&gt;1,1,0)</f>
        <v>0</v>
      </c>
      <c r="X42" s="2" t="s">
        <v>142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08" t="str">
        <f>IF(T13&lt;0.0000001,"IJM",(CONCATENATE("IJM ",T13*100,"%")))</f>
        <v>IJM</v>
      </c>
      <c r="B43" s="267" t="s">
        <v>128</v>
      </c>
      <c r="C43" s="412">
        <f t="shared" ref="C43:H43" si="35">(C$37-C$34-C$35-C$36)*-$T$13</f>
        <v>0</v>
      </c>
      <c r="D43" s="412">
        <f t="shared" si="35"/>
        <v>0</v>
      </c>
      <c r="E43" s="412">
        <f t="shared" si="35"/>
        <v>0</v>
      </c>
      <c r="F43" s="412">
        <f t="shared" si="35"/>
        <v>0</v>
      </c>
      <c r="G43" s="412">
        <f t="shared" si="35"/>
        <v>0</v>
      </c>
      <c r="H43" s="414">
        <f t="shared" si="35"/>
        <v>0</v>
      </c>
      <c r="I43" s="322" t="str">
        <f t="shared" si="0"/>
        <v>IJM</v>
      </c>
      <c r="J43" s="267" t="s">
        <v>128</v>
      </c>
      <c r="K43" s="412">
        <f t="shared" ref="K43:P43" si="36">(K$37-K$34-K$35-K$36)*-$T$13</f>
        <v>0</v>
      </c>
      <c r="L43" s="412">
        <f t="shared" si="36"/>
        <v>0</v>
      </c>
      <c r="M43" s="412">
        <f t="shared" si="36"/>
        <v>0</v>
      </c>
      <c r="N43" s="416">
        <f t="shared" si="36"/>
        <v>0</v>
      </c>
      <c r="O43" s="412">
        <f t="shared" si="36"/>
        <v>0</v>
      </c>
      <c r="P43" s="414">
        <f t="shared" si="36"/>
        <v>0</v>
      </c>
      <c r="Q43" s="236">
        <f t="shared" si="28"/>
        <v>0</v>
      </c>
      <c r="R43" s="65"/>
      <c r="S43" s="473"/>
      <c r="T43" s="473"/>
      <c r="U43" s="473"/>
      <c r="V43" s="65"/>
      <c r="W43" s="65"/>
      <c r="X43" s="101" t="s">
        <v>143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1">
        <f>MROUND(SUM(Y43:AJ43),0.05)</f>
        <v>0</v>
      </c>
    </row>
    <row r="44" spans="1:37" s="2" customFormat="1" ht="15" customHeight="1" x14ac:dyDescent="0.2">
      <c r="A44" s="308" t="str">
        <f>IF(T16&gt;0.01%,(CONCATENATE("LPP ",T16*100,"%")),IF(T15&lt;0.01,"LPP",(CONCATENATE("LPP ","CHF ",T15))))</f>
        <v>LPP</v>
      </c>
      <c r="B44" s="267" t="s">
        <v>128</v>
      </c>
      <c r="C44" s="412">
        <f t="shared" ref="C44:H44" si="39">IF(C39&lt;1,0,(IF(DATEDIF($F$7,$D$1,"Y")&lt;19,0,(IF(DATEDIF($F$7,C21,"Y")&gt;(IF($C$10="féminin",63,64)),0,IF($T$16&gt;0.1%,-$T$16*C39,-$T$15))))))</f>
        <v>0</v>
      </c>
      <c r="D44" s="412">
        <f t="shared" si="39"/>
        <v>0</v>
      </c>
      <c r="E44" s="412">
        <f t="shared" si="39"/>
        <v>0</v>
      </c>
      <c r="F44" s="412">
        <f t="shared" si="39"/>
        <v>0</v>
      </c>
      <c r="G44" s="412">
        <f t="shared" si="39"/>
        <v>0</v>
      </c>
      <c r="H44" s="414">
        <f t="shared" si="39"/>
        <v>0</v>
      </c>
      <c r="I44" s="322" t="str">
        <f t="shared" si="0"/>
        <v>LPP</v>
      </c>
      <c r="J44" s="267" t="s">
        <v>128</v>
      </c>
      <c r="K44" s="412">
        <f t="shared" ref="K44:P44" si="40">IF(K39&lt;1,0,(IF(DATEDIF($F$7,$D$1,"Y")&lt;19,0,(IF(DATEDIF($F$7,K21,"Y")&gt;(IF($C$10="féminin",63,64)),0,IF($T$16&gt;0.1%,-$T$16*K39,-$T$15))))))</f>
        <v>0</v>
      </c>
      <c r="L44" s="412">
        <f t="shared" si="40"/>
        <v>0</v>
      </c>
      <c r="M44" s="412">
        <f t="shared" si="40"/>
        <v>0</v>
      </c>
      <c r="N44" s="416">
        <f t="shared" si="40"/>
        <v>0</v>
      </c>
      <c r="O44" s="412">
        <f t="shared" si="40"/>
        <v>0</v>
      </c>
      <c r="P44" s="414">
        <f t="shared" si="40"/>
        <v>0</v>
      </c>
      <c r="Q44" s="236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08" t="str">
        <f>IF(G13="à choisir","",IF(OR(Y9&lt;5%,G13="ordinaire",)," ",(CONCATENATE("Impôt selon LTN ",Y9*100,"%"))))</f>
        <v/>
      </c>
      <c r="B45" s="266" t="str">
        <f>IF(A45="Impôt selon LTN 5%","CHF"," ")</f>
        <v xml:space="preserve"> </v>
      </c>
      <c r="C45" s="412">
        <f t="shared" ref="C45:H45" si="41">IF(C39+C38=0,0,IF(DATEDIF($F$7,C21,"Y")&lt;(IF($C$10="féminin",64,65)),C39*-$Y$9,IF(AND(C38&gt;1),(C39+C38)*-$Y$9,C39*-$Y$9)))</f>
        <v>0</v>
      </c>
      <c r="D45" s="412">
        <f t="shared" si="41"/>
        <v>0</v>
      </c>
      <c r="E45" s="412">
        <f t="shared" si="41"/>
        <v>0</v>
      </c>
      <c r="F45" s="412">
        <f t="shared" si="41"/>
        <v>0</v>
      </c>
      <c r="G45" s="412">
        <f t="shared" si="41"/>
        <v>0</v>
      </c>
      <c r="H45" s="414">
        <f t="shared" si="41"/>
        <v>0</v>
      </c>
      <c r="I45" s="308" t="str">
        <f t="shared" si="0"/>
        <v/>
      </c>
      <c r="J45" s="266" t="str">
        <f>IF(I45="Impôt selon LTN 5%","CHF"," ")</f>
        <v xml:space="preserve"> </v>
      </c>
      <c r="K45" s="412">
        <f t="shared" ref="K45:P45" si="42">IF(K39+K38=0,0,IF(DATEDIF($F$7,K21,"Y")&lt;(IF($C$10="féminin",64,65)),K39*-$Y$9,IF(AND(K38&gt;1),(K39+K38)*-$Y$9,K39*-$Y$9)))</f>
        <v>0</v>
      </c>
      <c r="L45" s="412">
        <f t="shared" si="42"/>
        <v>0</v>
      </c>
      <c r="M45" s="412">
        <f t="shared" si="42"/>
        <v>0</v>
      </c>
      <c r="N45" s="412">
        <f t="shared" si="42"/>
        <v>0</v>
      </c>
      <c r="O45" s="412">
        <f t="shared" si="42"/>
        <v>0</v>
      </c>
      <c r="P45" s="414">
        <f t="shared" si="42"/>
        <v>0</v>
      </c>
      <c r="Q45" s="300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08" t="str">
        <f>IF(G13="ordinaire","Impôt à la source","")</f>
        <v/>
      </c>
      <c r="B46" s="266" t="str">
        <f>IF(A46="QST","CHF"," ")</f>
        <v xml:space="preserve"> </v>
      </c>
      <c r="C46" s="412"/>
      <c r="D46" s="412"/>
      <c r="E46" s="412"/>
      <c r="F46" s="412"/>
      <c r="G46" s="412"/>
      <c r="H46" s="415"/>
      <c r="I46" s="322" t="str">
        <f t="shared" si="0"/>
        <v/>
      </c>
      <c r="J46" s="266" t="str">
        <f>IF(I46="QST","CHF"," ")</f>
        <v xml:space="preserve"> </v>
      </c>
      <c r="K46" s="413"/>
      <c r="L46" s="413"/>
      <c r="M46" s="413"/>
      <c r="N46" s="416"/>
      <c r="O46" s="413"/>
      <c r="P46" s="415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08" t="s">
        <v>144</v>
      </c>
      <c r="B47" s="267" t="s">
        <v>128</v>
      </c>
      <c r="C47" s="412"/>
      <c r="D47" s="413"/>
      <c r="E47" s="413"/>
      <c r="F47" s="413"/>
      <c r="G47" s="413"/>
      <c r="H47" s="415"/>
      <c r="I47" s="322" t="str">
        <f t="shared" si="0"/>
        <v>Frais effectifs</v>
      </c>
      <c r="J47" s="267" t="s">
        <v>128</v>
      </c>
      <c r="K47" s="413"/>
      <c r="L47" s="413"/>
      <c r="M47" s="413"/>
      <c r="N47" s="416"/>
      <c r="O47" s="413"/>
      <c r="P47" s="415"/>
      <c r="Q47" s="70">
        <f t="shared" si="28"/>
        <v>0</v>
      </c>
      <c r="R47" s="165"/>
      <c r="S47" s="65"/>
      <c r="T47" s="65"/>
      <c r="U47" s="65"/>
      <c r="V47" s="165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2" t="s">
        <v>127</v>
      </c>
      <c r="B48" s="271" t="s">
        <v>128</v>
      </c>
      <c r="C48" s="412">
        <f>-C31</f>
        <v>0</v>
      </c>
      <c r="D48" s="413">
        <f t="shared" ref="D48:H48" si="43">-D31</f>
        <v>0</v>
      </c>
      <c r="E48" s="413">
        <f t="shared" si="43"/>
        <v>0</v>
      </c>
      <c r="F48" s="413">
        <f t="shared" si="43"/>
        <v>0</v>
      </c>
      <c r="G48" s="413">
        <f t="shared" si="43"/>
        <v>0</v>
      </c>
      <c r="H48" s="415">
        <f t="shared" si="43"/>
        <v>0</v>
      </c>
      <c r="I48" s="323" t="str">
        <f t="shared" si="0"/>
        <v>Repas &amp; logement</v>
      </c>
      <c r="J48" s="271" t="s">
        <v>128</v>
      </c>
      <c r="K48" s="413">
        <f t="shared" ref="K48:P48" si="44">-K31</f>
        <v>0</v>
      </c>
      <c r="L48" s="413">
        <f t="shared" si="44"/>
        <v>0</v>
      </c>
      <c r="M48" s="413">
        <f t="shared" si="44"/>
        <v>0</v>
      </c>
      <c r="N48" s="416">
        <f t="shared" si="44"/>
        <v>0</v>
      </c>
      <c r="O48" s="413">
        <f t="shared" si="44"/>
        <v>0</v>
      </c>
      <c r="P48" s="415">
        <f t="shared" si="44"/>
        <v>0</v>
      </c>
      <c r="Q48" s="237">
        <f t="shared" si="28"/>
        <v>0</v>
      </c>
      <c r="R48" s="57"/>
      <c r="S48" s="165"/>
      <c r="T48" s="165"/>
      <c r="U48" s="165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29" t="s">
        <v>145</v>
      </c>
      <c r="B49" s="330" t="s">
        <v>128</v>
      </c>
      <c r="C49" s="325">
        <f>MROUND(C37+(SUM(C40:C46)+C47+C48),0.05)</f>
        <v>0</v>
      </c>
      <c r="D49" s="325">
        <f t="shared" ref="D49:H49" si="45">MROUND(D37+(SUM(D40:D46)+D47+D48),0.05)</f>
        <v>0</v>
      </c>
      <c r="E49" s="325">
        <f t="shared" si="45"/>
        <v>0</v>
      </c>
      <c r="F49" s="325">
        <f t="shared" si="45"/>
        <v>0</v>
      </c>
      <c r="G49" s="325">
        <f t="shared" si="45"/>
        <v>0</v>
      </c>
      <c r="H49" s="327">
        <f t="shared" si="45"/>
        <v>0</v>
      </c>
      <c r="I49" s="329" t="str">
        <f t="shared" si="0"/>
        <v>Salaire net</v>
      </c>
      <c r="J49" s="330" t="s">
        <v>128</v>
      </c>
      <c r="K49" s="325">
        <f t="shared" ref="K49:P49" si="46">MROUND(K37+(SUM(K40:K46)+K47+K48),0.05)</f>
        <v>0</v>
      </c>
      <c r="L49" s="325">
        <f t="shared" si="46"/>
        <v>0</v>
      </c>
      <c r="M49" s="325">
        <f t="shared" si="46"/>
        <v>0</v>
      </c>
      <c r="N49" s="325">
        <f t="shared" si="46"/>
        <v>0</v>
      </c>
      <c r="O49" s="325">
        <f t="shared" si="46"/>
        <v>0</v>
      </c>
      <c r="P49" s="327">
        <f t="shared" si="46"/>
        <v>0</v>
      </c>
      <c r="Q49" s="238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1" t="s">
        <v>146</v>
      </c>
      <c r="B50" s="324" t="s">
        <v>128</v>
      </c>
      <c r="C50" s="412"/>
      <c r="D50" s="412"/>
      <c r="E50" s="412"/>
      <c r="F50" s="412"/>
      <c r="G50" s="412"/>
      <c r="H50" s="414"/>
      <c r="I50" s="331" t="str">
        <f t="shared" si="0"/>
        <v>Salaire net payé</v>
      </c>
      <c r="J50" s="324" t="s">
        <v>128</v>
      </c>
      <c r="K50" s="412"/>
      <c r="L50" s="412"/>
      <c r="M50" s="412"/>
      <c r="N50" s="412"/>
      <c r="O50" s="412"/>
      <c r="P50" s="414"/>
      <c r="Q50" s="305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2" t="s">
        <v>147</v>
      </c>
      <c r="B51" s="333" t="s">
        <v>128</v>
      </c>
      <c r="C51" s="326">
        <f>IF(C50=0,0,C50-C49)</f>
        <v>0</v>
      </c>
      <c r="D51" s="326">
        <f t="shared" ref="D51:H51" si="47">IF(D50=0,0,D50-D49)</f>
        <v>0</v>
      </c>
      <c r="E51" s="326">
        <f t="shared" si="47"/>
        <v>0</v>
      </c>
      <c r="F51" s="326">
        <f t="shared" si="47"/>
        <v>0</v>
      </c>
      <c r="G51" s="326">
        <f t="shared" si="47"/>
        <v>0</v>
      </c>
      <c r="H51" s="328">
        <f t="shared" si="47"/>
        <v>0</v>
      </c>
      <c r="I51" s="332" t="str">
        <f t="shared" si="0"/>
        <v>Différence</v>
      </c>
      <c r="J51" s="333" t="s">
        <v>128</v>
      </c>
      <c r="K51" s="326">
        <f t="shared" ref="K51:P51" si="48">IF(K50=0,0,K50-K49)</f>
        <v>0</v>
      </c>
      <c r="L51" s="326">
        <f t="shared" si="48"/>
        <v>0</v>
      </c>
      <c r="M51" s="326">
        <f t="shared" si="48"/>
        <v>0</v>
      </c>
      <c r="N51" s="326">
        <f t="shared" si="48"/>
        <v>0</v>
      </c>
      <c r="O51" s="326">
        <f t="shared" si="48"/>
        <v>0</v>
      </c>
      <c r="P51" s="328">
        <f t="shared" si="48"/>
        <v>0</v>
      </c>
      <c r="Q51" s="305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148</v>
      </c>
      <c r="B52" s="321"/>
      <c r="C52" s="448"/>
      <c r="D52" s="448"/>
      <c r="E52" s="448"/>
      <c r="F52" s="448"/>
      <c r="G52" s="448"/>
      <c r="H52" s="446"/>
      <c r="I52" s="71" t="str">
        <f t="shared" si="0"/>
        <v>Remarques</v>
      </c>
      <c r="J52" s="321"/>
      <c r="K52" s="448"/>
      <c r="L52" s="448"/>
      <c r="M52" s="448"/>
      <c r="N52" s="448"/>
      <c r="O52" s="450"/>
      <c r="P52" s="446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3"/>
      <c r="B53" s="273"/>
      <c r="C53" s="449"/>
      <c r="D53" s="449"/>
      <c r="E53" s="449"/>
      <c r="F53" s="449"/>
      <c r="G53" s="449"/>
      <c r="H53" s="447"/>
      <c r="I53" s="313"/>
      <c r="J53" s="273"/>
      <c r="K53" s="449"/>
      <c r="L53" s="449"/>
      <c r="M53" s="449"/>
      <c r="N53" s="449"/>
      <c r="O53" s="451"/>
      <c r="P53" s="447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4" t="s">
        <v>149</v>
      </c>
      <c r="B55" s="274"/>
      <c r="C55" s="85">
        <f t="shared" ref="C55:H55" si="50">C21</f>
        <v>45292</v>
      </c>
      <c r="D55" s="86">
        <f t="shared" si="50"/>
        <v>45323</v>
      </c>
      <c r="E55" s="86">
        <f t="shared" si="50"/>
        <v>45352</v>
      </c>
      <c r="F55" s="86">
        <f t="shared" si="50"/>
        <v>45383</v>
      </c>
      <c r="G55" s="86">
        <f t="shared" si="50"/>
        <v>45413</v>
      </c>
      <c r="H55" s="87">
        <f t="shared" si="50"/>
        <v>45444</v>
      </c>
      <c r="I55" s="314" t="str">
        <f>A55</f>
        <v>Données pour AssistMe:</v>
      </c>
      <c r="J55" s="274"/>
      <c r="K55" s="86">
        <f t="shared" ref="K55:P55" si="51">K21</f>
        <v>45474</v>
      </c>
      <c r="L55" s="86">
        <f t="shared" si="51"/>
        <v>45505</v>
      </c>
      <c r="M55" s="86">
        <f t="shared" si="51"/>
        <v>45536</v>
      </c>
      <c r="N55" s="88">
        <f t="shared" si="51"/>
        <v>45566</v>
      </c>
      <c r="O55" s="86">
        <f t="shared" si="51"/>
        <v>45597</v>
      </c>
      <c r="P55" s="87">
        <f t="shared" si="51"/>
        <v>45627</v>
      </c>
      <c r="Q55" s="224" t="s">
        <v>126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5" t="s">
        <v>150</v>
      </c>
      <c r="B56" s="275" t="s">
        <v>151</v>
      </c>
      <c r="C56" s="402" t="str">
        <f t="shared" ref="C56:H56" si="52">IF($C$16="Salaire horaire",IF($M$8="","",(C25*$P$10)+(C24*$P$7)+C26+C28+(C32+C33)/(IF($M$13&gt;1,((($M$8+$M$13)/2)),$M$8))),"Salaire mensuel")</f>
        <v>Salaire mensuel</v>
      </c>
      <c r="D56" s="402" t="str">
        <f t="shared" si="52"/>
        <v>Salaire mensuel</v>
      </c>
      <c r="E56" s="402" t="str">
        <f t="shared" si="52"/>
        <v>Salaire mensuel</v>
      </c>
      <c r="F56" s="402" t="str">
        <f t="shared" si="52"/>
        <v>Salaire mensuel</v>
      </c>
      <c r="G56" s="402" t="str">
        <f t="shared" si="52"/>
        <v>Salaire mensuel</v>
      </c>
      <c r="H56" s="287" t="str">
        <f t="shared" si="52"/>
        <v>Salaire mensuel</v>
      </c>
      <c r="I56" s="316" t="str">
        <f>A56</f>
        <v>Nombre d'heures</v>
      </c>
      <c r="J56" s="275" t="s">
        <v>151</v>
      </c>
      <c r="K56" s="402" t="str">
        <f t="shared" ref="K56:P56" si="53">IF($C$16="Salaire horaire",IF($M$8="","",(K25*$P$10)+(K24*$P$7)+K26+K28+(K32+K33)/(IF($M$13&gt;1,((($M$8+$M$13)/2)),$M$8))),"Salaire mensuel")</f>
        <v>Salaire mensuel</v>
      </c>
      <c r="L56" s="402" t="str">
        <f t="shared" si="53"/>
        <v>Salaire mensuel</v>
      </c>
      <c r="M56" s="402" t="str">
        <f t="shared" si="53"/>
        <v>Salaire mensuel</v>
      </c>
      <c r="N56" s="402" t="str">
        <f t="shared" si="53"/>
        <v>Salaire mensuel</v>
      </c>
      <c r="O56" s="402" t="str">
        <f t="shared" si="53"/>
        <v>Salaire mensuel</v>
      </c>
      <c r="P56" s="287" t="str">
        <f t="shared" si="53"/>
        <v>Salaire mensuel</v>
      </c>
      <c r="Q56" s="229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16" t="s">
        <v>145</v>
      </c>
      <c r="B57" s="276" t="s">
        <v>128</v>
      </c>
      <c r="C57" s="288">
        <f>C49-C48-C47-C46-C36-C35-C34-C31</f>
        <v>0</v>
      </c>
      <c r="D57" s="288">
        <f t="shared" ref="D57:H57" si="54">D49-D48-D47-D46-D36-D35-D34-D31</f>
        <v>0</v>
      </c>
      <c r="E57" s="288">
        <f t="shared" si="54"/>
        <v>0</v>
      </c>
      <c r="F57" s="288">
        <f t="shared" si="54"/>
        <v>0</v>
      </c>
      <c r="G57" s="288">
        <f t="shared" si="54"/>
        <v>0</v>
      </c>
      <c r="H57" s="287">
        <f t="shared" si="54"/>
        <v>0</v>
      </c>
      <c r="I57" s="316" t="str">
        <f>A57</f>
        <v>Salaire net</v>
      </c>
      <c r="J57" s="276" t="s">
        <v>128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297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17" t="s">
        <v>152</v>
      </c>
      <c r="B58" s="277" t="s">
        <v>128</v>
      </c>
      <c r="C58" s="289">
        <f>IF(C32&gt;0.1,C32-(C32*(SUM($T$8:$T$14)+$Y$9+$T$16))-(C32/IF(C39=0,1,C39)*-C44),IF(C32&lt;-0.1,C32-(C32*(SUM($T$8:$T$14)+$Y$9+$T$16))-(C32/IF(C39=0,1,C39)*-C44),0))</f>
        <v>0</v>
      </c>
      <c r="D58" s="289">
        <f t="shared" ref="D58:H58" si="56">IF(D32&gt;0.1,D32-(D32*(SUM($T$8:$T$14)+$Y$9+$T$16))-(D32/IF(D39=0,1,D39)*-D44),IF(D32&lt;-0.1,D32-(D32*(SUM($T$8:$T$14)+$Y$9+$T$16))-(D32/IF(D39=0,1,D39)*-D44),0))</f>
        <v>0</v>
      </c>
      <c r="E58" s="289">
        <f t="shared" si="56"/>
        <v>0</v>
      </c>
      <c r="F58" s="289">
        <f t="shared" si="56"/>
        <v>0</v>
      </c>
      <c r="G58" s="289">
        <f t="shared" si="56"/>
        <v>0</v>
      </c>
      <c r="H58" s="290">
        <f t="shared" si="56"/>
        <v>0</v>
      </c>
      <c r="I58" s="317" t="str">
        <f>A58</f>
        <v>Dont oblig. de verser le salaire (art. 324a CO)</v>
      </c>
      <c r="J58" s="277" t="s">
        <v>128</v>
      </c>
      <c r="K58" s="289">
        <f t="shared" ref="K58:P58" si="57">IF(K32&gt;0.1,K32-(K32*(SUM($T$8:$T$14)+$Y$9+$T$16))-(K32/IF(K39=0,1,K39)*-K44),IF(K32&lt;-0.1,K32-(K32*(SUM($T$8:$T$14)+$Y$9+$T$16))-(K32/IF(K39=0,1,K39)*-K44),0))</f>
        <v>0</v>
      </c>
      <c r="L58" s="289">
        <f t="shared" si="57"/>
        <v>0</v>
      </c>
      <c r="M58" s="289">
        <f t="shared" si="57"/>
        <v>0</v>
      </c>
      <c r="N58" s="289">
        <f t="shared" si="57"/>
        <v>0</v>
      </c>
      <c r="O58" s="289">
        <f t="shared" si="57"/>
        <v>0</v>
      </c>
      <c r="P58" s="290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18" t="str">
        <f>IF(G12="oui","Contribution d'assistance de l'AI","")</f>
        <v/>
      </c>
      <c r="B60" s="278"/>
      <c r="C60" s="219" t="str">
        <f t="shared" ref="C60:H60" si="58">IF($G$12="oui",C21,"")</f>
        <v/>
      </c>
      <c r="D60" s="219" t="str">
        <f t="shared" si="58"/>
        <v/>
      </c>
      <c r="E60" s="219" t="str">
        <f t="shared" si="58"/>
        <v/>
      </c>
      <c r="F60" s="219" t="str">
        <f t="shared" si="58"/>
        <v/>
      </c>
      <c r="G60" s="219" t="str">
        <f t="shared" si="58"/>
        <v/>
      </c>
      <c r="H60" s="220" t="str">
        <f t="shared" si="58"/>
        <v/>
      </c>
      <c r="I60" s="318" t="str">
        <f t="shared" ref="I60:I64" si="59">A60</f>
        <v/>
      </c>
      <c r="J60" s="278"/>
      <c r="K60" s="219" t="str">
        <f t="shared" ref="K60:P60" si="60">IF($G$12="oui",K21,"")</f>
        <v/>
      </c>
      <c r="L60" s="219" t="str">
        <f t="shared" si="60"/>
        <v/>
      </c>
      <c r="M60" s="219" t="str">
        <f t="shared" si="60"/>
        <v/>
      </c>
      <c r="N60" s="221" t="str">
        <f t="shared" si="60"/>
        <v/>
      </c>
      <c r="O60" s="219" t="str">
        <f t="shared" si="60"/>
        <v/>
      </c>
      <c r="P60" s="220" t="str">
        <f t="shared" si="60"/>
        <v/>
      </c>
      <c r="Q60" s="225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19" t="str">
        <f>IF(G12="oui","A) Nb. d'heures standard","")</f>
        <v/>
      </c>
      <c r="B61" s="279" t="str">
        <f>IF(G12="oui","h"," ")</f>
        <v xml:space="preserve"> </v>
      </c>
      <c r="C61" s="291" t="str">
        <f>IF($G$12="oui",(IF(DATEDIF($F$7,C$21,"Y")&lt;18,0,C26+C28)),"")</f>
        <v/>
      </c>
      <c r="D61" s="291" t="str">
        <f t="shared" ref="D61:H61" si="61">IF($G$12="oui",(IF(DATEDIF($F$7,D$21,"Y")&lt;18,0,D26+D28)),"")</f>
        <v/>
      </c>
      <c r="E61" s="291" t="str">
        <f t="shared" si="61"/>
        <v/>
      </c>
      <c r="F61" s="223" t="str">
        <f t="shared" si="61"/>
        <v/>
      </c>
      <c r="G61" s="223" t="str">
        <f t="shared" si="61"/>
        <v/>
      </c>
      <c r="H61" s="222" t="str">
        <f t="shared" si="61"/>
        <v/>
      </c>
      <c r="I61" s="320" t="str">
        <f t="shared" si="59"/>
        <v/>
      </c>
      <c r="J61" s="279" t="str">
        <f>B61</f>
        <v xml:space="preserve"> </v>
      </c>
      <c r="K61" s="223" t="str">
        <f t="shared" ref="K61:P61" si="62">IF($G$12="oui",(IF(DATEDIF($F$7,K$21,"Y")&lt;18,0,K26+K28)),"")</f>
        <v/>
      </c>
      <c r="L61" s="223" t="str">
        <f t="shared" si="62"/>
        <v/>
      </c>
      <c r="M61" s="223" t="str">
        <f t="shared" si="62"/>
        <v/>
      </c>
      <c r="N61" s="295" t="str">
        <f t="shared" si="62"/>
        <v/>
      </c>
      <c r="O61" s="223" t="str">
        <f t="shared" si="62"/>
        <v/>
      </c>
      <c r="P61" s="222" t="str">
        <f t="shared" si="62"/>
        <v/>
      </c>
      <c r="Q61" s="22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0" t="str">
        <f>IF(G12="oui","B) Nb. d'heures quali B","")</f>
        <v/>
      </c>
      <c r="B62" s="280" t="str">
        <f>IF(G12="oui","h"," ")</f>
        <v xml:space="preserve"> </v>
      </c>
      <c r="C62" s="291"/>
      <c r="D62" s="291"/>
      <c r="E62" s="291"/>
      <c r="F62" s="291"/>
      <c r="G62" s="291"/>
      <c r="H62" s="292"/>
      <c r="I62" s="320" t="str">
        <f t="shared" si="59"/>
        <v/>
      </c>
      <c r="J62" s="280" t="str">
        <f>B62</f>
        <v xml:space="preserve"> </v>
      </c>
      <c r="K62" s="223"/>
      <c r="L62" s="223"/>
      <c r="M62" s="223"/>
      <c r="N62" s="295"/>
      <c r="O62" s="223"/>
      <c r="P62" s="222"/>
      <c r="Q62" s="222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x14ac:dyDescent="0.2">
      <c r="A63" s="392" t="str">
        <f>IF($G$12="oui","C) Nb. d'engagements 
de nuit","")</f>
        <v/>
      </c>
      <c r="B63" s="393" t="str">
        <f>IF(G12="oui","Nb."," ")</f>
        <v xml:space="preserve"> </v>
      </c>
      <c r="C63" s="394" t="str">
        <f>IF($G$12="oui",(IF(DATEDIF($F$7,C$21,"Y")&lt;18,0,C25)),"")</f>
        <v/>
      </c>
      <c r="D63" s="394" t="str">
        <f t="shared" ref="D63:H63" si="63">IF($G$12="oui",(IF(DATEDIF($F$7,D$21,"Y")&lt;18,0,D25)),"")</f>
        <v/>
      </c>
      <c r="E63" s="394" t="str">
        <f t="shared" si="63"/>
        <v/>
      </c>
      <c r="F63" s="394" t="str">
        <f t="shared" si="63"/>
        <v/>
      </c>
      <c r="G63" s="394" t="str">
        <f t="shared" si="63"/>
        <v/>
      </c>
      <c r="H63" s="395" t="str">
        <f t="shared" si="63"/>
        <v/>
      </c>
      <c r="I63" s="392" t="str">
        <f t="shared" si="59"/>
        <v/>
      </c>
      <c r="J63" s="393" t="str">
        <f>B63</f>
        <v xml:space="preserve"> </v>
      </c>
      <c r="K63" s="394" t="str">
        <f t="shared" ref="K63:P63" si="64">IF($G$12="oui",(IF(DATEDIF($F$7,K$21,"Y")&lt;18,0,K25)),"")</f>
        <v/>
      </c>
      <c r="L63" s="394" t="str">
        <f t="shared" si="64"/>
        <v/>
      </c>
      <c r="M63" s="394" t="str">
        <f t="shared" si="64"/>
        <v/>
      </c>
      <c r="N63" s="396" t="str">
        <f t="shared" si="64"/>
        <v/>
      </c>
      <c r="O63" s="394" t="str">
        <f t="shared" si="64"/>
        <v/>
      </c>
      <c r="P63" s="395" t="str">
        <f t="shared" si="64"/>
        <v/>
      </c>
      <c r="Q63" s="397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1" customFormat="1" ht="15" customHeight="1" thickBot="1" x14ac:dyDescent="0.25">
      <c r="A64" s="433" t="str">
        <f>IF(G12="oui","Oblig. de verser le salaire","")</f>
        <v/>
      </c>
      <c r="B64" s="434"/>
      <c r="C64" s="293" t="str">
        <f>IF($G$12="oui",(IF(OR(C32&gt;0.1,C33&gt;0.1),"décompter","")),"")</f>
        <v/>
      </c>
      <c r="D64" s="293" t="str">
        <f t="shared" ref="D64:H64" si="65">IF($G$12="oui",(IF(OR(D32&gt;0.1,D33&gt;0.1),"décompter","")),"")</f>
        <v/>
      </c>
      <c r="E64" s="293" t="str">
        <f t="shared" si="65"/>
        <v/>
      </c>
      <c r="F64" s="293" t="str">
        <f t="shared" si="65"/>
        <v/>
      </c>
      <c r="G64" s="293" t="str">
        <f t="shared" si="65"/>
        <v/>
      </c>
      <c r="H64" s="294" t="str">
        <f t="shared" si="65"/>
        <v/>
      </c>
      <c r="I64" s="435" t="str">
        <f t="shared" si="59"/>
        <v/>
      </c>
      <c r="J64" s="434"/>
      <c r="K64" s="293" t="str">
        <f t="shared" ref="K64:P64" si="66">IF($G$12="oui",(IF(OR(K32&gt;0.1,K33&gt;0.1),"décompter","")),"")</f>
        <v/>
      </c>
      <c r="L64" s="293" t="str">
        <f t="shared" si="66"/>
        <v/>
      </c>
      <c r="M64" s="293" t="str">
        <f t="shared" si="66"/>
        <v/>
      </c>
      <c r="N64" s="296" t="str">
        <f t="shared" si="66"/>
        <v/>
      </c>
      <c r="O64" s="293" t="str">
        <f t="shared" si="66"/>
        <v/>
      </c>
      <c r="P64" s="294" t="str">
        <f t="shared" si="66"/>
        <v/>
      </c>
      <c r="Q64" s="227" t="str">
        <f>IF($G$12="oui",SUM(C64:H64)+SUM(K64:P64),"")</f>
        <v/>
      </c>
      <c r="R64" s="398"/>
      <c r="S64" s="398"/>
      <c r="T64" s="398"/>
      <c r="U64" s="398"/>
      <c r="V64" s="398"/>
      <c r="W64" s="399"/>
      <c r="X64" s="400"/>
      <c r="Y64" s="400"/>
      <c r="Z64" s="400"/>
      <c r="AA64" s="400"/>
      <c r="AB64" s="400"/>
      <c r="AC64" s="400"/>
      <c r="AD64" s="400"/>
      <c r="AE64" s="400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6"/>
      <c r="Y65" s="226"/>
      <c r="Z65" s="226"/>
      <c r="AA65" s="226"/>
      <c r="AB65" s="226"/>
      <c r="AC65" s="226"/>
      <c r="AD65" s="226"/>
      <c r="AE65" s="226"/>
    </row>
    <row r="66" spans="1:31" ht="15" customHeight="1" x14ac:dyDescent="0.2">
      <c r="S66" s="62"/>
      <c r="T66" s="62"/>
      <c r="U66" s="62"/>
    </row>
  </sheetData>
  <sheetProtection algorithmName="SHA-512" hashValue="Mq5Z1jCUZVuX9p8exgS4vaLSAfgvw03oecHiQwnt7SZwU/iXMONharuy6bX9tTWAcOjHUCTUidzqCaAxWO5FAQ==" saltValue="RM8RNjAnmrJFPNPA0f0kHQ==" spinCount="100000" sheet="1" objects="1" scenarios="1"/>
  <mergeCells count="48">
    <mergeCell ref="H52:H53"/>
    <mergeCell ref="C52:C53"/>
    <mergeCell ref="D52:D53"/>
    <mergeCell ref="E52:E53"/>
    <mergeCell ref="F52:F53"/>
    <mergeCell ref="G52:G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O52:O53"/>
    <mergeCell ref="P52:P53"/>
    <mergeCell ref="S24:U26"/>
    <mergeCell ref="S28:U30"/>
    <mergeCell ref="S31:U32"/>
    <mergeCell ref="S33:U35"/>
    <mergeCell ref="S36:U40"/>
    <mergeCell ref="S41:U43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293" priority="28" operator="beginsWith" text="Nom">
      <formula>LEFT(A25,LEN("Nom"))="Nom"</formula>
    </cfRule>
  </conditionalFormatting>
  <conditionalFormatting sqref="A26">
    <cfRule type="containsText" dxfId="292" priority="39" operator="containsText" text="Nombre d'heures">
      <formula>NOT(ISERROR(SEARCH("Nombre d'heures",A26)))</formula>
    </cfRule>
  </conditionalFormatting>
  <conditionalFormatting sqref="A28">
    <cfRule type="containsText" dxfId="291" priority="42" operator="containsText" text="Nombre d'heures II">
      <formula>NOT(ISERROR(SEARCH("Nombre d'heures II",A28)))</formula>
    </cfRule>
  </conditionalFormatting>
  <conditionalFormatting sqref="A24:B24">
    <cfRule type="expression" dxfId="290" priority="40">
      <formula>$G$11="oui"</formula>
    </cfRule>
  </conditionalFormatting>
  <conditionalFormatting sqref="A25:B25">
    <cfRule type="expression" dxfId="289" priority="31">
      <formula>$P$10&gt;0.1</formula>
    </cfRule>
  </conditionalFormatting>
  <conditionalFormatting sqref="A50:B50">
    <cfRule type="expression" dxfId="288" priority="218">
      <formula>$G$11="ja"</formula>
    </cfRule>
  </conditionalFormatting>
  <conditionalFormatting sqref="B25">
    <cfRule type="beginsWith" dxfId="287" priority="27" operator="beginsWith" text="Nb">
      <formula>LEFT(B25,LEN("Nb"))="Nb"</formula>
    </cfRule>
  </conditionalFormatting>
  <conditionalFormatting sqref="B26">
    <cfRule type="containsText" dxfId="286" priority="30" operator="containsText" text="h">
      <formula>NOT(ISERROR(SEARCH("h",B26)))</formula>
    </cfRule>
  </conditionalFormatting>
  <conditionalFormatting sqref="B28">
    <cfRule type="containsText" dxfId="285" priority="29" operator="containsText" text="h">
      <formula>NOT(ISERROR(SEARCH("h",B28)))</formula>
    </cfRule>
  </conditionalFormatting>
  <conditionalFormatting sqref="C17">
    <cfRule type="expression" dxfId="284" priority="54">
      <formula>$A$17="13ème salaire"</formula>
    </cfRule>
  </conditionalFormatting>
  <conditionalFormatting sqref="C22:H22">
    <cfRule type="cellIs" dxfId="283" priority="50" operator="greaterThan">
      <formula>1</formula>
    </cfRule>
  </conditionalFormatting>
  <conditionalFormatting sqref="C23:H23 K23:P23">
    <cfRule type="expression" dxfId="282" priority="17">
      <formula>$B$23="CHF"</formula>
    </cfRule>
  </conditionalFormatting>
  <conditionalFormatting sqref="C24:H24 K24:P24">
    <cfRule type="expression" dxfId="281" priority="36">
      <formula>$G$11="oui"</formula>
    </cfRule>
  </conditionalFormatting>
  <conditionalFormatting sqref="C25:H25 K25:P25">
    <cfRule type="expression" dxfId="280" priority="3">
      <formula>$B$25="Nb."</formula>
    </cfRule>
  </conditionalFormatting>
  <conditionalFormatting sqref="C26:H26">
    <cfRule type="expression" dxfId="279" priority="10">
      <formula>$G$12="oui"</formula>
    </cfRule>
    <cfRule type="expression" dxfId="278" priority="11">
      <formula>$C$16="Salaire horaire"</formula>
    </cfRule>
  </conditionalFormatting>
  <conditionalFormatting sqref="C28:H28 K28:P28">
    <cfRule type="expression" dxfId="277" priority="37">
      <formula>$G$10="oui"</formula>
    </cfRule>
  </conditionalFormatting>
  <conditionalFormatting sqref="C50:H50">
    <cfRule type="expression" dxfId="276" priority="192">
      <formula>C51&gt;0.01</formula>
    </cfRule>
    <cfRule type="expression" dxfId="275" priority="193">
      <formula>C51&lt;-0.01</formula>
    </cfRule>
  </conditionalFormatting>
  <conditionalFormatting sqref="C51:H51">
    <cfRule type="cellIs" dxfId="274" priority="206" operator="lessThan">
      <formula>-0.04</formula>
    </cfRule>
    <cfRule type="cellIs" dxfId="273" priority="207" operator="greaterThan">
      <formula>0.04</formula>
    </cfRule>
  </conditionalFormatting>
  <conditionalFormatting sqref="G1">
    <cfRule type="containsText" dxfId="272" priority="25" operator="containsText" text="Attention faute">
      <formula>NOT(ISERROR(SEARCH("Attention faute",G1)))</formula>
    </cfRule>
  </conditionalFormatting>
  <conditionalFormatting sqref="G10">
    <cfRule type="expression" dxfId="271" priority="18">
      <formula>$C$16="Salaire horaire"</formula>
    </cfRule>
  </conditionalFormatting>
  <conditionalFormatting sqref="H17:H18 S24">
    <cfRule type="beginsWith" dxfId="270" priority="46" operator="beginsWith" text="ATT">
      <formula>LEFT(H17,LEN("ATT"))="ATT"</formula>
    </cfRule>
  </conditionalFormatting>
  <conditionalFormatting sqref="I25">
    <cfRule type="beginsWith" dxfId="269" priority="5" operator="beginsWith" text="Nom">
      <formula>LEFT(I25,LEN("Nom"))="Nom"</formula>
    </cfRule>
  </conditionalFormatting>
  <conditionalFormatting sqref="I26">
    <cfRule type="containsText" dxfId="268" priority="22" operator="containsText" text="Nombre d'heures">
      <formula>NOT(ISERROR(SEARCH("Nombre d'heures",I26)))</formula>
    </cfRule>
  </conditionalFormatting>
  <conditionalFormatting sqref="I28">
    <cfRule type="containsText" dxfId="267" priority="24" operator="containsText" text="Nombre d'heures II">
      <formula>NOT(ISERROR(SEARCH("Nombre d'heures II",I28)))</formula>
    </cfRule>
  </conditionalFormatting>
  <conditionalFormatting sqref="I24:J24">
    <cfRule type="expression" dxfId="266" priority="23">
      <formula>$G$11="oui"</formula>
    </cfRule>
  </conditionalFormatting>
  <conditionalFormatting sqref="I25:J25">
    <cfRule type="expression" dxfId="265" priority="6">
      <formula>$P$10&gt;0.1</formula>
    </cfRule>
  </conditionalFormatting>
  <conditionalFormatting sqref="I50:J50">
    <cfRule type="expression" dxfId="264" priority="170">
      <formula>$G$11="ja"</formula>
    </cfRule>
  </conditionalFormatting>
  <conditionalFormatting sqref="J25">
    <cfRule type="beginsWith" dxfId="263" priority="4" operator="beginsWith" text="Nb">
      <formula>LEFT(J25,LEN("Nb"))="Nb"</formula>
    </cfRule>
  </conditionalFormatting>
  <conditionalFormatting sqref="J26">
    <cfRule type="containsText" dxfId="262" priority="21" operator="containsText" text="h">
      <formula>NOT(ISERROR(SEARCH("h",J26)))</formula>
    </cfRule>
  </conditionalFormatting>
  <conditionalFormatting sqref="J28">
    <cfRule type="containsText" dxfId="261" priority="20" operator="containsText" text="h">
      <formula>NOT(ISERROR(SEARCH("h",J28)))</formula>
    </cfRule>
  </conditionalFormatting>
  <conditionalFormatting sqref="K22:P22">
    <cfRule type="cellIs" dxfId="260" priority="51" operator="greaterThan">
      <formula>1</formula>
    </cfRule>
  </conditionalFormatting>
  <conditionalFormatting sqref="K26:P26">
    <cfRule type="expression" dxfId="259" priority="34">
      <formula>$G$12="oui"</formula>
    </cfRule>
    <cfRule type="expression" dxfId="258" priority="35">
      <formula>$C$16="Salaire horaire"</formula>
    </cfRule>
  </conditionalFormatting>
  <conditionalFormatting sqref="K50:P50">
    <cfRule type="expression" dxfId="257" priority="180">
      <formula>K51&gt;0.01</formula>
    </cfRule>
    <cfRule type="expression" dxfId="256" priority="181">
      <formula>K51&lt;-0.01</formula>
    </cfRule>
  </conditionalFormatting>
  <conditionalFormatting sqref="K51:P51">
    <cfRule type="cellIs" dxfId="255" priority="202" operator="lessThan">
      <formula>-0.04</formula>
    </cfRule>
    <cfRule type="cellIs" dxfId="254" priority="203" operator="greaterThan">
      <formula>0.04</formula>
    </cfRule>
  </conditionalFormatting>
  <conditionalFormatting sqref="L7">
    <cfRule type="expression" dxfId="253" priority="33">
      <formula>$C$16="à choisir"</formula>
    </cfRule>
  </conditionalFormatting>
  <conditionalFormatting sqref="L12">
    <cfRule type="expression" dxfId="252" priority="43">
      <formula>$G$10="oui"</formula>
    </cfRule>
  </conditionalFormatting>
  <conditionalFormatting sqref="M8">
    <cfRule type="expression" dxfId="251" priority="32">
      <formula>$C$16="Salaire horaire"</formula>
    </cfRule>
    <cfRule type="expression" dxfId="250" priority="26">
      <formula>$C$16="salaire mensuel"</formula>
    </cfRule>
  </conditionalFormatting>
  <conditionalFormatting sqref="M13">
    <cfRule type="expression" dxfId="249" priority="38">
      <formula>$G$10="oui"</formula>
    </cfRule>
  </conditionalFormatting>
  <conditionalFormatting sqref="P1">
    <cfRule type="containsText" dxfId="248" priority="19" operator="containsText" text="Attention faute">
      <formula>NOT(ISERROR(SEARCH("Attention faute",P1)))</formula>
    </cfRule>
  </conditionalFormatting>
  <conditionalFormatting sqref="P7">
    <cfRule type="expression" dxfId="247" priority="41">
      <formula>$Q$7="du Sal.horaire"</formula>
    </cfRule>
  </conditionalFormatting>
  <conditionalFormatting sqref="P10">
    <cfRule type="expression" dxfId="246" priority="44">
      <formula>$Q$10="heures"</formula>
    </cfRule>
  </conditionalFormatting>
  <conditionalFormatting sqref="S20">
    <cfRule type="beginsWith" dxfId="245" priority="8" operator="beginsWith" text="Rema">
      <formula>LEFT(S20,LEN("Rema"))="Rema"</formula>
    </cfRule>
    <cfRule type="beginsWith" dxfId="244" priority="7" operator="beginsWith" text="Ni">
      <formula>LEFT(S20,LEN("Ni"))="Ni"</formula>
    </cfRule>
    <cfRule type="beginsWith" dxfId="243" priority="9" operator="beginsWith" text="La">
      <formula>LEFT(S20,LEN("La"))="La"</formula>
    </cfRule>
  </conditionalFormatting>
  <conditionalFormatting sqref="S28">
    <cfRule type="beginsWith" dxfId="242" priority="45" operator="beginsWith" text="ATT">
      <formula>LEFT(S28,LEN("ATT"))="ATT"</formula>
    </cfRule>
  </conditionalFormatting>
  <conditionalFormatting sqref="S36:S37">
    <cfRule type="beginsWith" dxfId="241" priority="102" operator="beginsWith" text="Att">
      <formula>LEFT(S36,LEN("Att"))="Att"</formula>
    </cfRule>
  </conditionalFormatting>
  <conditionalFormatting sqref="A64:Q64">
    <cfRule type="expression" dxfId="240" priority="1">
      <formula>$G$12="non"</formula>
    </cfRule>
  </conditionalFormatting>
  <conditionalFormatting sqref="A60:Q63">
    <cfRule type="expression" dxfId="239" priority="2">
      <formula>$G$12="non"</formula>
    </cfRule>
  </conditionalFormatting>
  <dataValidations count="7">
    <dataValidation type="list" allowBlank="1" showInputMessage="1" showErrorMessage="1" sqref="C10" xr:uid="{DB836E14-8694-4D45-860A-B7ABEA0EF23D}">
      <formula1>$X$6:$X$8</formula1>
    </dataValidation>
    <dataValidation type="list" allowBlank="1" showInputMessage="1" showErrorMessage="1" sqref="C17" xr:uid="{00000000-0002-0000-0500-000004000000}">
      <formula1>$Y$11:$Y$12</formula1>
    </dataValidation>
    <dataValidation type="list" allowBlank="1" showInputMessage="1" showErrorMessage="1" sqref="G10" xr:uid="{00000000-0002-0000-0500-000005000000}">
      <formula1>$AC$13:$AC$14</formula1>
    </dataValidation>
    <dataValidation type="list" allowBlank="1" showInputMessage="1" showErrorMessage="1" sqref="F9:G9" xr:uid="{00000000-0002-0000-0500-000006000000}">
      <formula1>$AB$6:$AB$19</formula1>
    </dataValidation>
    <dataValidation type="list" allowBlank="1" showInputMessage="1" showErrorMessage="1" sqref="C16" xr:uid="{42732B6E-B9E4-4141-BA6E-B1D7F274813F}">
      <formula1>$X$11:$X$13</formula1>
    </dataValidation>
    <dataValidation type="list" allowBlank="1" showInputMessage="1" showErrorMessage="1" sqref="G13" xr:uid="{F3E69595-81E6-4137-84DA-8159BD494333}">
      <formula1>$Y$6:$Y$8</formula1>
    </dataValidation>
    <dataValidation type="list" allowBlank="1" showInputMessage="1" showErrorMessage="1" sqref="G11:G12" xr:uid="{756DEDFA-6536-42FF-B06D-DC14262FA61B}">
      <formula1>$AH$6:$AH$8</formula1>
    </dataValidation>
  </dataValidations>
  <hyperlinks>
    <hyperlink ref="G1:H3" location="Fehler1" display="Fehler1" xr:uid="{4EC7AF89-AC2E-464E-86B0-3C9D1F3AD975}"/>
    <hyperlink ref="P1:Q3" location="Fehler1" display="Fehler1" xr:uid="{E94A9993-7E89-4360-81D6-77E142DA7403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7.0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BD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19.7109375" style="1" customWidth="1"/>
    <col min="10" max="10" width="4.5703125" style="1" bestFit="1" customWidth="1"/>
    <col min="11" max="16" width="12.28515625" style="1" customWidth="1"/>
    <col min="17" max="17" width="13.28515625" style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hidden="1" customWidth="1"/>
    <col min="38" max="16384" width="11.42578125" style="1"/>
  </cols>
  <sheetData>
    <row r="1" spans="1:35" ht="12.75" customHeight="1" x14ac:dyDescent="0.2">
      <c r="A1" s="443" t="str">
        <f>'PA 1'!A1:C1</f>
        <v>Nom/Prénom employeur</v>
      </c>
      <c r="B1" s="443"/>
      <c r="C1" s="443"/>
      <c r="D1" s="453">
        <v>45657</v>
      </c>
      <c r="E1" s="453"/>
      <c r="F1" s="453"/>
      <c r="G1" s="444" t="str">
        <f>IF($W45&gt;4,"Attention erreur!",IF($W$45&gt;0,"Attention remarque!",""))</f>
        <v/>
      </c>
      <c r="H1" s="444"/>
      <c r="I1" s="460" t="str">
        <f>A1</f>
        <v>Nom/Prénom employeur</v>
      </c>
      <c r="J1" s="460"/>
      <c r="K1" s="460"/>
      <c r="L1" s="453">
        <f>D1</f>
        <v>45657</v>
      </c>
      <c r="M1" s="453"/>
      <c r="N1" s="453"/>
      <c r="O1" s="453"/>
      <c r="P1" s="444" t="str">
        <f>IF($W45&gt;4,"Attention erreur!",IF($W$45&gt;0,"Attention remarque!",""))</f>
        <v/>
      </c>
      <c r="Q1" s="444"/>
      <c r="S1" s="246" t="s">
        <v>47</v>
      </c>
      <c r="T1" s="260"/>
      <c r="U1" s="361" t="s">
        <v>48</v>
      </c>
      <c r="V1" s="362" t="s">
        <v>49</v>
      </c>
      <c r="W1" s="68"/>
      <c r="AE1" s="1"/>
    </row>
    <row r="2" spans="1:35" ht="12.75" customHeight="1" x14ac:dyDescent="0.2">
      <c r="A2" s="443" t="str">
        <f>'PA 1'!A2:C2</f>
        <v>Lieu employeur</v>
      </c>
      <c r="B2" s="443"/>
      <c r="C2" s="443"/>
      <c r="D2" s="453"/>
      <c r="E2" s="453"/>
      <c r="F2" s="453"/>
      <c r="G2" s="444"/>
      <c r="H2" s="444"/>
      <c r="I2" s="460" t="str">
        <f>A2</f>
        <v>Lieu employeur</v>
      </c>
      <c r="J2" s="460"/>
      <c r="K2" s="460"/>
      <c r="L2" s="453"/>
      <c r="M2" s="453"/>
      <c r="N2" s="453"/>
      <c r="O2" s="453"/>
      <c r="P2" s="444"/>
      <c r="Q2" s="444"/>
      <c r="S2" s="249" t="s">
        <v>51</v>
      </c>
      <c r="T2" s="2"/>
      <c r="U2" s="218">
        <f>IF(C16="Salaire horaire",(M8*M7*52)+(M13*M12*52),(M8+Y13)*12)</f>
        <v>0</v>
      </c>
      <c r="V2" s="261"/>
      <c r="W2" s="68"/>
      <c r="Y2" s="466" t="s">
        <v>52</v>
      </c>
      <c r="AA2" s="466" t="s">
        <v>53</v>
      </c>
      <c r="AE2" s="1"/>
    </row>
    <row r="3" spans="1:35" ht="5.0999999999999996" customHeight="1" x14ac:dyDescent="0.2">
      <c r="G3" s="444"/>
      <c r="H3" s="444"/>
      <c r="P3" s="444"/>
      <c r="Q3" s="444"/>
      <c r="S3" s="254"/>
      <c r="V3" s="250"/>
      <c r="W3" s="68"/>
      <c r="Y3" s="466"/>
      <c r="AA3" s="466"/>
      <c r="AE3" s="1"/>
    </row>
    <row r="4" spans="1:35" ht="15.75" customHeight="1" thickBot="1" x14ac:dyDescent="0.3">
      <c r="A4" s="41" t="s">
        <v>54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0" t="s">
        <v>55</v>
      </c>
      <c r="J4" s="360"/>
      <c r="K4" s="360"/>
      <c r="L4" s="360"/>
      <c r="M4" s="42"/>
      <c r="N4" s="42"/>
      <c r="O4" s="42"/>
      <c r="P4" s="42"/>
      <c r="Q4" s="51" t="str">
        <f>CONCATENATE($C$6," ",$C$7)</f>
        <v xml:space="preserve"> </v>
      </c>
      <c r="S4" s="454" t="s">
        <v>56</v>
      </c>
      <c r="T4" s="455"/>
      <c r="U4" s="262">
        <f>((U2-(U2*SUM(T8:T14,T16,Y9)+(12*T15)))*Z14)</f>
        <v>0</v>
      </c>
      <c r="V4" s="263">
        <f>U4/365</f>
        <v>0</v>
      </c>
      <c r="W4" s="68"/>
      <c r="X4" s="464" t="s">
        <v>57</v>
      </c>
      <c r="Y4" s="466"/>
      <c r="Z4" s="464" t="s">
        <v>58</v>
      </c>
      <c r="AA4" s="466"/>
      <c r="AB4" s="467" t="s">
        <v>59</v>
      </c>
      <c r="AC4" s="468" t="s">
        <v>60</v>
      </c>
      <c r="AD4" s="465" t="s">
        <v>61</v>
      </c>
      <c r="AE4" s="1"/>
      <c r="AH4" s="464" t="s">
        <v>62</v>
      </c>
      <c r="AI4" s="464"/>
    </row>
    <row r="5" spans="1:35" ht="5.0999999999999996" customHeight="1" x14ac:dyDescent="0.2">
      <c r="X5" s="464"/>
      <c r="Y5" s="466"/>
      <c r="Z5" s="464"/>
      <c r="AA5" s="466"/>
      <c r="AB5" s="467"/>
      <c r="AC5" s="468"/>
      <c r="AD5" s="465"/>
      <c r="AE5" s="2"/>
      <c r="AF5" s="4"/>
      <c r="AG5" s="48"/>
      <c r="AH5" s="464"/>
      <c r="AI5" s="464"/>
    </row>
    <row r="6" spans="1:35" s="2" customFormat="1" ht="13.5" thickBot="1" x14ac:dyDescent="0.25">
      <c r="A6" s="2" t="s">
        <v>63</v>
      </c>
      <c r="C6" s="452"/>
      <c r="D6" s="452"/>
      <c r="E6" s="2" t="s">
        <v>64</v>
      </c>
      <c r="F6" s="445"/>
      <c r="G6" s="445"/>
      <c r="I6" s="6" t="s">
        <v>65</v>
      </c>
      <c r="N6" s="6" t="str">
        <f>IF(AND(C16="Salaire horaire",G11="oui"),"Calcul de l'indemnité les heures de garde","")</f>
        <v/>
      </c>
      <c r="W6" s="180"/>
      <c r="X6" s="2" t="s">
        <v>66</v>
      </c>
      <c r="Y6" s="2" t="s">
        <v>66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28" t="s">
        <v>66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67</v>
      </c>
      <c r="AG6" s="49"/>
      <c r="AH6" s="2" t="s">
        <v>66</v>
      </c>
    </row>
    <row r="7" spans="1:35" s="2" customFormat="1" x14ac:dyDescent="0.2">
      <c r="A7" s="2" t="s">
        <v>68</v>
      </c>
      <c r="C7" s="452"/>
      <c r="D7" s="452"/>
      <c r="E7" s="2" t="s">
        <v>69</v>
      </c>
      <c r="F7" s="445"/>
      <c r="G7" s="445"/>
      <c r="I7" s="2" t="str">
        <f>IF(C16="Salaire horaire",IF(G10="oui","Taux d'occupation I","Taux d'occupation"),IF(C16="Salaire mensuel","Taux d'occupation",""))</f>
        <v/>
      </c>
      <c r="L7" s="406"/>
      <c r="M7" s="371">
        <f>42*L7</f>
        <v>0</v>
      </c>
      <c r="N7" s="2" t="str">
        <f>IF(AND(C16="Salaire horaire",G11="oui"),"1 heure de garde =","")</f>
        <v/>
      </c>
      <c r="P7" s="304"/>
      <c r="Q7" s="2" t="str">
        <f>IF(AND(C16="Salaire horaire",G11="oui"),"du Sal.horaire","")</f>
        <v/>
      </c>
      <c r="S7" s="246" t="s">
        <v>70</v>
      </c>
      <c r="T7" s="247" t="s">
        <v>71</v>
      </c>
      <c r="U7" s="248"/>
      <c r="W7" s="1"/>
      <c r="X7" s="2" t="s">
        <v>72</v>
      </c>
      <c r="Y7" s="2" t="s">
        <v>73</v>
      </c>
      <c r="Z7" s="59" t="str">
        <f>IF(OR(G13="ordinaire",G13="à choisir"),"ordinaire","")</f>
        <v>ordinaire</v>
      </c>
      <c r="AA7" s="59"/>
      <c r="AB7" s="59" t="s">
        <v>74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75</v>
      </c>
      <c r="AG7" s="49">
        <f>IF(C16="Salaire horaire",(M7*52/12)*12*M8,(M8)*12)</f>
        <v>0</v>
      </c>
      <c r="AH7" s="2" t="s">
        <v>76</v>
      </c>
    </row>
    <row r="8" spans="1:35" s="2" customFormat="1" ht="12" customHeight="1" x14ac:dyDescent="0.2">
      <c r="A8" s="2" t="s">
        <v>77</v>
      </c>
      <c r="C8" s="452"/>
      <c r="D8" s="452"/>
      <c r="E8" s="2" t="s">
        <v>78</v>
      </c>
      <c r="F8" s="452"/>
      <c r="G8" s="452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5"/>
      <c r="S8" s="249" t="s">
        <v>79</v>
      </c>
      <c r="T8" s="251">
        <f>IF(F7="",0,IF(DATEDIF($F$7,D1,"Y")&lt;18,0,5.3%))</f>
        <v>0</v>
      </c>
      <c r="U8" s="250"/>
      <c r="W8" s="152"/>
      <c r="X8" s="2" t="s">
        <v>80</v>
      </c>
      <c r="Y8" s="59" t="s">
        <v>81</v>
      </c>
      <c r="Z8" s="59"/>
      <c r="AB8" s="59" t="s">
        <v>82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83</v>
      </c>
    </row>
    <row r="9" spans="1:35" s="2" customFormat="1" x14ac:dyDescent="0.2">
      <c r="A9" s="2" t="s">
        <v>84</v>
      </c>
      <c r="C9" s="452"/>
      <c r="D9" s="452"/>
      <c r="E9" s="2" t="s">
        <v>85</v>
      </c>
      <c r="F9" s="456" t="s">
        <v>66</v>
      </c>
      <c r="G9" s="456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3" t="str">
        <f>IF($C$16="Salaire horaire",M8/(1+L9)*L9,"")</f>
        <v/>
      </c>
      <c r="N9" s="6" t="str">
        <f>IF(C16="Salaire horaire","Conversion des engagements de nuit en heures","")</f>
        <v/>
      </c>
      <c r="S9" s="249" t="s">
        <v>86</v>
      </c>
      <c r="T9" s="251">
        <f>IF(DATEDIF($F$7,D1,"Y")&lt;18,0,IF(DATEDIF($F$7,C21,"Y")&gt;(IF($C$10="féminin",63,64)),0,1.1%))</f>
        <v>0</v>
      </c>
      <c r="U9" s="252"/>
      <c r="W9" s="181"/>
      <c r="Y9" s="75">
        <f>IF(G13="à choisir",0,IF(AND(Z6="simplifiée",'PA 1'!Z6="simplifiée",'PA 2'!Z6="simplifiée",'PA 3'!Z6="simplifiée",'PA 5'!Z6="simplifiée",'PA 4'!Z6="simplifiée",'PA 7'!Z6="simplifiée",'PA 8'!Z6="simplifiée",'PA 9'!Z6="simplifiée"),IF(DATEDIF($F$7,D21,"Y")&lt;17,0%,5%),0%))</f>
        <v>0</v>
      </c>
      <c r="Z9" s="59"/>
      <c r="AB9" s="59" t="s">
        <v>87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88</v>
      </c>
      <c r="C10" s="405" t="s">
        <v>66</v>
      </c>
      <c r="E10" s="2" t="str">
        <f>IF(C16="Salaire horaire","Avez-vous 2 différents sal. horaire?","")</f>
        <v/>
      </c>
      <c r="G10" s="427"/>
      <c r="H10" s="168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4" t="str">
        <f>IF($C$16="Salaire horaire",M8-M9,"")</f>
        <v/>
      </c>
      <c r="N10" s="2" t="str">
        <f>IF(C16="Salaire horaire","1 nuit correspond à","")</f>
        <v/>
      </c>
      <c r="P10" s="264"/>
      <c r="Q10" s="2" t="str">
        <f>IF(C16="Salaire horaire","heures","")</f>
        <v/>
      </c>
      <c r="S10" s="249"/>
      <c r="T10" s="251"/>
      <c r="U10" s="252"/>
      <c r="W10" s="1"/>
      <c r="X10" s="6" t="s">
        <v>89</v>
      </c>
      <c r="Y10" s="6" t="s">
        <v>90</v>
      </c>
      <c r="Z10" s="64" t="s">
        <v>91</v>
      </c>
      <c r="AB10" s="59" t="s">
        <v>92</v>
      </c>
      <c r="AD10" s="59" t="e">
        <f>ROUND(M8/L7,0)</f>
        <v>#DIV/0!</v>
      </c>
    </row>
    <row r="11" spans="1:35" s="2" customFormat="1" ht="13.5" customHeight="1" x14ac:dyDescent="0.2">
      <c r="A11" s="2" t="s">
        <v>93</v>
      </c>
      <c r="C11" s="405"/>
      <c r="E11" s="2" t="s">
        <v>94</v>
      </c>
      <c r="G11" s="405" t="s">
        <v>66</v>
      </c>
      <c r="S11" s="249" t="s">
        <v>95</v>
      </c>
      <c r="T11" s="407"/>
      <c r="U11" s="253" t="s">
        <v>96</v>
      </c>
      <c r="W11" s="1"/>
      <c r="X11" s="2" t="s">
        <v>66</v>
      </c>
      <c r="Y11" s="2" t="str">
        <f>IF(C16="Salaire mensuel","oui","")</f>
        <v/>
      </c>
      <c r="Z11" s="179">
        <f>IF(G13="simplifiée",126.8%,0)</f>
        <v>0</v>
      </c>
      <c r="AB11" s="59" t="s">
        <v>97</v>
      </c>
      <c r="AD11" s="59"/>
    </row>
    <row r="12" spans="1:35" s="2" customFormat="1" ht="13.5" customHeight="1" x14ac:dyDescent="0.2">
      <c r="A12" s="2" t="s">
        <v>98</v>
      </c>
      <c r="C12" s="405"/>
      <c r="E12" s="2" t="s">
        <v>99</v>
      </c>
      <c r="G12" s="405" t="s">
        <v>66</v>
      </c>
      <c r="I12" s="2" t="str">
        <f>IF(G10="oui","Taux d'occupation II","")</f>
        <v/>
      </c>
      <c r="L12" s="217"/>
      <c r="M12" s="242">
        <f>42*L12</f>
        <v>0</v>
      </c>
      <c r="S12" s="249"/>
      <c r="T12" s="1"/>
      <c r="U12" s="250"/>
      <c r="W12" s="1"/>
      <c r="X12" s="2" t="s">
        <v>100</v>
      </c>
      <c r="Y12" s="2" t="str">
        <f>IF(C16="Salaire mensuel","non","")</f>
        <v/>
      </c>
      <c r="Z12" s="179">
        <f>IF(AND(G13="ordinaire",T15=0,T16=0),119.9%,0)</f>
        <v>0</v>
      </c>
      <c r="AA12" s="59"/>
      <c r="AB12" s="59" t="s">
        <v>101</v>
      </c>
      <c r="AC12" s="64" t="s">
        <v>102</v>
      </c>
      <c r="AD12" s="59"/>
    </row>
    <row r="13" spans="1:35" s="2" customFormat="1" ht="12.75" customHeight="1" x14ac:dyDescent="0.2">
      <c r="A13" s="2" t="s">
        <v>103</v>
      </c>
      <c r="C13" s="405"/>
      <c r="E13" s="2" t="s">
        <v>104</v>
      </c>
      <c r="G13" s="405" t="s">
        <v>66</v>
      </c>
      <c r="I13" s="5" t="str">
        <f>IF(G10="oui","Salaire horaire II (avec Suppl. vacances)","")</f>
        <v/>
      </c>
      <c r="L13" s="4"/>
      <c r="M13" s="245"/>
      <c r="S13" s="249" t="s">
        <v>105</v>
      </c>
      <c r="T13" s="408"/>
      <c r="U13" s="253" t="s">
        <v>96</v>
      </c>
      <c r="W13" s="68"/>
      <c r="X13" s="2" t="s">
        <v>106</v>
      </c>
      <c r="Y13" s="2">
        <f>IF(C17="oui",M8/12,0)</f>
        <v>0</v>
      </c>
      <c r="Z13" s="179">
        <f>IF(OR(T15&gt;0,T16&gt;0),129.2%,0)</f>
        <v>0</v>
      </c>
      <c r="AA13" s="59"/>
      <c r="AB13" s="59" t="s">
        <v>107</v>
      </c>
      <c r="AC13" s="59" t="s">
        <v>76</v>
      </c>
      <c r="AD13" s="59"/>
    </row>
    <row r="14" spans="1:35" s="2" customFormat="1" ht="12.75" customHeight="1" x14ac:dyDescent="0.2">
      <c r="A14" s="2" t="s">
        <v>108</v>
      </c>
      <c r="C14" s="409"/>
      <c r="E14" s="2" t="s">
        <v>109</v>
      </c>
      <c r="F14" s="452"/>
      <c r="G14" s="452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3" t="str">
        <f>IF(G10="oui",M13/(1+L14)*L14,"")</f>
        <v/>
      </c>
      <c r="S14" s="254"/>
      <c r="T14" s="1"/>
      <c r="U14" s="250"/>
      <c r="W14" s="68"/>
      <c r="Y14" s="151">
        <f>M8</f>
        <v>0</v>
      </c>
      <c r="Z14" s="179">
        <f>SUM(Z11:Z13)</f>
        <v>0</v>
      </c>
      <c r="AA14" s="59"/>
      <c r="AB14" s="58" t="s">
        <v>110</v>
      </c>
      <c r="AC14" s="59" t="s">
        <v>83</v>
      </c>
      <c r="AD14" s="59"/>
    </row>
    <row r="15" spans="1:35" s="2" customFormat="1" ht="12.75" customHeight="1" x14ac:dyDescent="0.2">
      <c r="A15" s="2" t="s">
        <v>111</v>
      </c>
      <c r="C15" s="409"/>
      <c r="E15" s="2" t="s">
        <v>112</v>
      </c>
      <c r="F15" s="452"/>
      <c r="G15" s="452"/>
      <c r="I15" s="5" t="str">
        <f>IF(G10="oui","Salaire horaire II (sans Suppl. vacances)","")</f>
        <v/>
      </c>
      <c r="M15" s="244" t="str">
        <f>IF(G10="oui",M13-M14,"")</f>
        <v/>
      </c>
      <c r="S15" s="249" t="s">
        <v>113</v>
      </c>
      <c r="T15" s="410"/>
      <c r="U15" s="255" t="s">
        <v>114</v>
      </c>
      <c r="W15" s="1"/>
      <c r="Y15" s="2">
        <f>SUM(Y13:Y14)</f>
        <v>0</v>
      </c>
      <c r="Z15" s="59"/>
      <c r="AA15" s="59"/>
      <c r="AB15" s="59" t="s">
        <v>115</v>
      </c>
      <c r="AD15" s="59"/>
    </row>
    <row r="16" spans="1:35" s="2" customFormat="1" ht="12.75" customHeight="1" thickBot="1" x14ac:dyDescent="0.25">
      <c r="A16" s="2" t="s">
        <v>116</v>
      </c>
      <c r="C16" s="405" t="s">
        <v>66</v>
      </c>
      <c r="E16" s="2" t="s">
        <v>117</v>
      </c>
      <c r="F16" s="452"/>
      <c r="G16" s="452"/>
      <c r="S16" s="256" t="s">
        <v>118</v>
      </c>
      <c r="T16" s="411"/>
      <c r="U16" s="257" t="s">
        <v>119</v>
      </c>
      <c r="W16" s="1"/>
      <c r="Z16" s="59"/>
      <c r="AA16" s="59"/>
      <c r="AB16" s="58" t="s">
        <v>120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27"/>
      <c r="D17" s="168" t="str">
        <f>IF(C17&gt;1,"",IF(A17="13ème salaire","à choisir",""))</f>
        <v/>
      </c>
      <c r="H17" s="167"/>
      <c r="W17" s="1"/>
      <c r="X17" s="59"/>
      <c r="Y17" s="59"/>
      <c r="Z17" s="59"/>
      <c r="AA17" s="59"/>
      <c r="AB17" s="59" t="s">
        <v>121</v>
      </c>
      <c r="AC17" s="59"/>
      <c r="AD17" s="59"/>
    </row>
    <row r="18" spans="1:37" s="2" customFormat="1" x14ac:dyDescent="0.2">
      <c r="H18" s="167"/>
      <c r="M18" s="167"/>
      <c r="S18" s="469" t="s">
        <v>122</v>
      </c>
      <c r="T18" s="470"/>
      <c r="U18" s="471"/>
      <c r="V18" s="334"/>
      <c r="X18" s="153"/>
      <c r="Y18" s="154"/>
      <c r="Z18" s="59"/>
      <c r="AA18" s="59"/>
      <c r="AB18" s="2" t="s">
        <v>123</v>
      </c>
      <c r="AD18" s="59"/>
      <c r="AE18" s="59"/>
    </row>
    <row r="19" spans="1:37" s="2" customFormat="1" ht="15" x14ac:dyDescent="0.25">
      <c r="A19" s="41" t="s">
        <v>124</v>
      </c>
      <c r="B19" s="41"/>
      <c r="C19" s="52"/>
      <c r="D19" s="52"/>
      <c r="E19" s="52"/>
      <c r="F19" s="52"/>
      <c r="G19" s="52"/>
      <c r="H19" s="52"/>
      <c r="I19" s="41" t="s">
        <v>124</v>
      </c>
      <c r="J19" s="41"/>
      <c r="K19" s="52"/>
      <c r="L19" s="52"/>
      <c r="M19" s="52"/>
      <c r="N19" s="52"/>
      <c r="O19" s="52"/>
      <c r="P19" s="52"/>
      <c r="Q19" s="52"/>
      <c r="S19" s="258"/>
      <c r="U19" s="259"/>
      <c r="X19" s="153"/>
      <c r="Y19" s="154"/>
      <c r="Z19" s="59"/>
      <c r="AA19" s="59"/>
      <c r="AB19" s="59" t="s">
        <v>125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2"/>
      <c r="U20" s="463"/>
      <c r="V20" s="404"/>
      <c r="X20" s="153"/>
      <c r="Y20" s="154"/>
      <c r="Z20" s="59"/>
      <c r="AA20" s="59"/>
      <c r="AB20" s="59"/>
      <c r="AD20" s="59"/>
      <c r="AE20" s="59"/>
    </row>
    <row r="21" spans="1:37" s="2" customFormat="1" ht="12" x14ac:dyDescent="0.2">
      <c r="A21" s="306">
        <f>D1</f>
        <v>45657</v>
      </c>
      <c r="B21" s="265"/>
      <c r="C21" s="82">
        <v>45292</v>
      </c>
      <c r="D21" s="82">
        <v>45323</v>
      </c>
      <c r="E21" s="82">
        <v>45352</v>
      </c>
      <c r="F21" s="82">
        <v>45383</v>
      </c>
      <c r="G21" s="82">
        <v>45413</v>
      </c>
      <c r="H21" s="69">
        <v>45444</v>
      </c>
      <c r="I21" s="306">
        <f t="shared" ref="I21:I52" si="0">A21</f>
        <v>45657</v>
      </c>
      <c r="J21" s="265"/>
      <c r="K21" s="82">
        <v>45474</v>
      </c>
      <c r="L21" s="82">
        <v>45505</v>
      </c>
      <c r="M21" s="82">
        <v>45536</v>
      </c>
      <c r="N21" s="82">
        <v>45566</v>
      </c>
      <c r="O21" s="82">
        <v>45597</v>
      </c>
      <c r="P21" s="69">
        <v>45627</v>
      </c>
      <c r="Q21" s="97" t="s">
        <v>126</v>
      </c>
      <c r="S21" s="461"/>
      <c r="T21" s="462"/>
      <c r="U21" s="463"/>
      <c r="V21" s="404"/>
      <c r="W21" s="2">
        <f>IF(S20="Hinweis: Wenn der AHV Freibetrag nicht überschritten wird, muss ein Lohnausweis erstellt werden!",1,IF(S20=0,0,5))</f>
        <v>0</v>
      </c>
      <c r="X21" s="153"/>
      <c r="Y21" s="154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07" t="str">
        <f>IF($C$16="Salaire horaire","",IF(C16="à choisir","","Salaire mensuel"))</f>
        <v/>
      </c>
      <c r="B22" s="266" t="str">
        <f>IF(A22="Salaire mensuel","CHF"," ")</f>
        <v xml:space="preserve"> </v>
      </c>
      <c r="C22" s="281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1">
        <f t="shared" si="1"/>
        <v>0</v>
      </c>
      <c r="E22" s="281">
        <f t="shared" si="1"/>
        <v>0</v>
      </c>
      <c r="F22" s="281">
        <f t="shared" si="1"/>
        <v>0</v>
      </c>
      <c r="G22" s="281">
        <f t="shared" si="1"/>
        <v>0</v>
      </c>
      <c r="H22" s="282">
        <f t="shared" si="1"/>
        <v>0</v>
      </c>
      <c r="I22" s="308" t="str">
        <f t="shared" si="0"/>
        <v/>
      </c>
      <c r="J22" s="266" t="str">
        <f>IF(I22="Salaire mensuel","CHF"," ")</f>
        <v xml:space="preserve"> </v>
      </c>
      <c r="K22" s="281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2">
        <f t="shared" si="2"/>
        <v>0</v>
      </c>
      <c r="Q22" s="298">
        <f t="shared" ref="Q22:Q37" si="3">ROUND((SUM(C22:H22)+SUM(K22:P22))*20,0)/20</f>
        <v>0</v>
      </c>
      <c r="S22" s="461"/>
      <c r="T22" s="462"/>
      <c r="U22" s="463"/>
      <c r="V22" s="404"/>
      <c r="X22" s="153"/>
      <c r="Y22" s="154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07" t="str">
        <f>IF($C$16="Salaire horaire","",(IF($C$17="oui","13. Salaire mensuel","")))</f>
        <v/>
      </c>
      <c r="B23" s="266" t="str">
        <f>IF(A23="13. Salaire mensuel","CHF"," ")</f>
        <v xml:space="preserve"> </v>
      </c>
      <c r="C23" s="281">
        <f>IF(OR($C$16="Salaire horaire",$C$16="à choisir"),0,(IF($C$17="oui",(C$22+C32+C33)/12,"")))</f>
        <v>0</v>
      </c>
      <c r="D23" s="283">
        <f t="shared" ref="D23:H23" si="4">IF(OR($C$16="Salaire horaire",$C$16="à choisir"),0,(IF($C$17="oui",(D$22+D32+D33)/12,"")))</f>
        <v>0</v>
      </c>
      <c r="E23" s="283">
        <f t="shared" si="4"/>
        <v>0</v>
      </c>
      <c r="F23" s="283">
        <f t="shared" si="4"/>
        <v>0</v>
      </c>
      <c r="G23" s="283">
        <f t="shared" si="4"/>
        <v>0</v>
      </c>
      <c r="H23" s="282">
        <f t="shared" si="4"/>
        <v>0</v>
      </c>
      <c r="I23" s="308" t="str">
        <f t="shared" si="0"/>
        <v/>
      </c>
      <c r="J23" s="266" t="str">
        <f>IF(I23="13. Salaire mensuel","CHF"," ")</f>
        <v xml:space="preserve"> </v>
      </c>
      <c r="K23" s="283">
        <f t="shared" ref="K23:P23" si="5">IF(OR($C$16="Salaire horaire",$C$16="à choisir"),0,(IF($C$17="oui",(K$22+K32+K33)/12,"")))</f>
        <v>0</v>
      </c>
      <c r="L23" s="283">
        <f t="shared" si="5"/>
        <v>0</v>
      </c>
      <c r="M23" s="283">
        <f t="shared" si="5"/>
        <v>0</v>
      </c>
      <c r="N23" s="299">
        <f t="shared" si="5"/>
        <v>0</v>
      </c>
      <c r="O23" s="283">
        <f t="shared" si="5"/>
        <v>0</v>
      </c>
      <c r="P23" s="282">
        <f t="shared" si="5"/>
        <v>0</v>
      </c>
      <c r="Q23" s="236">
        <f t="shared" si="3"/>
        <v>0</v>
      </c>
      <c r="S23" s="258"/>
      <c r="U23" s="259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0" t="str">
        <f>IF(G11="oui","Nombre d'heures 
de garde","")</f>
        <v/>
      </c>
      <c r="B24" s="369" t="str">
        <f>IF(A24="Nombre d'heures 
de garde","h"," ")</f>
        <v xml:space="preserve"> </v>
      </c>
      <c r="C24" s="283"/>
      <c r="D24" s="283"/>
      <c r="E24" s="283"/>
      <c r="F24" s="283"/>
      <c r="G24" s="283"/>
      <c r="H24" s="282"/>
      <c r="I24" s="370" t="str">
        <f t="shared" si="0"/>
        <v/>
      </c>
      <c r="J24" s="369" t="str">
        <f>B24</f>
        <v xml:space="preserve"> </v>
      </c>
      <c r="K24" s="283"/>
      <c r="L24" s="283"/>
      <c r="M24" s="283"/>
      <c r="N24" s="283"/>
      <c r="O24" s="283"/>
      <c r="P24" s="282"/>
      <c r="Q24" s="300">
        <f t="shared" si="3"/>
        <v>0</v>
      </c>
      <c r="S24" s="461">
        <f>IF(OR(AND(Z6="simplifiée",'PA 1'!Z6="simplifiée",'PA 3'!Z6="simplifiée",'PA 4'!Z6="simplifiée",'PA 5'!Z6="simplifiée",'PA 2'!Z6="simplifiée",'PA 7'!Z6="simplifiée",'PA 8'!Z6="simplifiée",'PA 9'!Z6="simplifiée"),(AND(Z7="ordinaire",'PA 1'!Z7="ordinaire",'PA 3'!Z7="ordinaire",'PA 4'!Z7="ordinaire",'PA 5'!Z7="ordinaire",'PA 2'!Z7="ordinaire",'PA 7'!Z7="ordinaire",'PA 8'!Z7="ordinaire",'PA 9'!Z7="ordinaire"))),0,"ATTENTION: la même procédure de décompte AVS doit être utilisée pour tous les prestataires d’assistance!")</f>
        <v>0</v>
      </c>
      <c r="T24" s="462"/>
      <c r="U24" s="463"/>
      <c r="V24" s="404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0" t="str">
        <f>IF(AND(C16="Salaire mensuel",G12="oui"),"Nombre d'engagements de nuit",IF(P10&gt;0.1,"Nombre d'engagements de nuit",""))</f>
        <v/>
      </c>
      <c r="B25" s="266" t="str">
        <f>IF(A25="Nombre d'engagements de nuit","Nb."," ")</f>
        <v xml:space="preserve"> </v>
      </c>
      <c r="C25" s="284"/>
      <c r="D25" s="284"/>
      <c r="E25" s="284"/>
      <c r="F25" s="284"/>
      <c r="G25" s="284"/>
      <c r="H25" s="285"/>
      <c r="I25" s="370" t="str">
        <f t="shared" si="0"/>
        <v/>
      </c>
      <c r="J25" s="266" t="str">
        <f>B25</f>
        <v xml:space="preserve"> </v>
      </c>
      <c r="K25" s="284"/>
      <c r="L25" s="284"/>
      <c r="M25" s="284"/>
      <c r="N25" s="284"/>
      <c r="O25" s="284"/>
      <c r="P25" s="301"/>
      <c r="Q25" s="298">
        <f t="shared" si="3"/>
        <v>0</v>
      </c>
      <c r="R25" s="76"/>
      <c r="S25" s="461"/>
      <c r="T25" s="462"/>
      <c r="U25" s="463"/>
      <c r="V25" s="404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08" t="str">
        <f>IF(AND($C$16="Salaire mensuel",$G$12="oui"),"Nombre d'heures",IF(C16="Salaire horaire",IF(G10="oui","Nombre d'heures I","Nombre d'heures"),""))</f>
        <v/>
      </c>
      <c r="B26" s="267" t="str">
        <f>IF(OR(A26="Nombre d'heures Standard",A26="Nombre d'heures",A26="Nombre d'heures I"),"h"," ")</f>
        <v xml:space="preserve"> </v>
      </c>
      <c r="C26" s="283"/>
      <c r="D26" s="283"/>
      <c r="E26" s="283"/>
      <c r="F26" s="283"/>
      <c r="G26" s="283"/>
      <c r="H26" s="282"/>
      <c r="I26" s="308" t="str">
        <f t="shared" si="0"/>
        <v/>
      </c>
      <c r="J26" s="267" t="str">
        <f>IF(OR(I26="Nombre d'heures Standard",I26="Nombre d'heures",I26="Nombre d'heures I"),"h"," ")</f>
        <v xml:space="preserve"> </v>
      </c>
      <c r="K26" s="283"/>
      <c r="L26" s="283"/>
      <c r="M26" s="283"/>
      <c r="N26" s="283"/>
      <c r="O26" s="283"/>
      <c r="P26" s="282"/>
      <c r="Q26" s="300">
        <f t="shared" si="3"/>
        <v>0</v>
      </c>
      <c r="R26" s="76"/>
      <c r="S26" s="461"/>
      <c r="T26" s="462"/>
      <c r="U26" s="463"/>
      <c r="V26" s="404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08" t="str">
        <f>IF($C$16="Salaire horaire",IF(G10="oui","Salaire horaire I","Salaire horaire"),"")</f>
        <v/>
      </c>
      <c r="B27" s="266" t="str">
        <f>IF(OR(A27="Salaire horaire Standard",A27="Salaire horaire",A27="Salaire horaire I"),"CHF"," ")</f>
        <v xml:space="preserve"> </v>
      </c>
      <c r="C27" s="233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3" t="str">
        <f t="shared" si="6"/>
        <v/>
      </c>
      <c r="E27" s="233" t="str">
        <f t="shared" si="6"/>
        <v/>
      </c>
      <c r="F27" s="233" t="str">
        <f t="shared" si="6"/>
        <v/>
      </c>
      <c r="G27" s="233" t="str">
        <f t="shared" si="6"/>
        <v/>
      </c>
      <c r="H27" s="234" t="str">
        <f t="shared" si="6"/>
        <v/>
      </c>
      <c r="I27" s="308" t="str">
        <f t="shared" si="0"/>
        <v/>
      </c>
      <c r="J27" s="266" t="str">
        <f>IF(OR(I27="Salaire horaire Standard",I27="Salaire horaire",I27="Salaire horaire I"),"CHF"," ")</f>
        <v xml:space="preserve"> </v>
      </c>
      <c r="K27" s="233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3" t="str">
        <f t="shared" si="7"/>
        <v/>
      </c>
      <c r="M27" s="233" t="str">
        <f t="shared" si="7"/>
        <v/>
      </c>
      <c r="N27" s="233" t="str">
        <f t="shared" si="7"/>
        <v/>
      </c>
      <c r="O27" s="233" t="str">
        <f t="shared" si="7"/>
        <v/>
      </c>
      <c r="P27" s="234" t="str">
        <f t="shared" si="7"/>
        <v/>
      </c>
      <c r="Q27" s="300">
        <f t="shared" si="3"/>
        <v>0</v>
      </c>
      <c r="R27" s="76"/>
      <c r="S27" s="258"/>
      <c r="T27" s="2"/>
      <c r="U27" s="259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08" t="str">
        <f>IF(G10="oui","Nombre d'heures II","")</f>
        <v/>
      </c>
      <c r="B28" s="267" t="str">
        <f>IF(OR(A28="Nombre d'heures Quali B",A28="Nombre d'heures II"),"h"," ")</f>
        <v xml:space="preserve"> </v>
      </c>
      <c r="C28" s="283"/>
      <c r="D28" s="283"/>
      <c r="E28" s="283"/>
      <c r="F28" s="283"/>
      <c r="G28" s="283"/>
      <c r="H28" s="282"/>
      <c r="I28" s="308" t="str">
        <f t="shared" si="0"/>
        <v/>
      </c>
      <c r="J28" s="267" t="str">
        <f>IF(OR(I28="Nombre d'heures Quali B",I28="Nombre d'heures II"),"h"," ")</f>
        <v xml:space="preserve"> </v>
      </c>
      <c r="K28" s="283"/>
      <c r="L28" s="283"/>
      <c r="M28" s="283"/>
      <c r="N28" s="299"/>
      <c r="O28" s="283"/>
      <c r="P28" s="282"/>
      <c r="Q28" s="300">
        <f t="shared" si="3"/>
        <v>0</v>
      </c>
      <c r="R28" s="78"/>
      <c r="S28" s="461">
        <f>IF(AND(AC6="oui",(G12="oui")),"ATTENTION: le salaire des proches ne doit pas réglé au contributin d'assistance AI",0)</f>
        <v>0</v>
      </c>
      <c r="T28" s="462"/>
      <c r="U28" s="463"/>
      <c r="V28" s="404"/>
      <c r="W28" s="78"/>
      <c r="X28" s="101"/>
      <c r="Y28" s="98"/>
    </row>
    <row r="29" spans="1:37" s="6" customFormat="1" x14ac:dyDescent="0.2">
      <c r="A29" s="308" t="str">
        <f>IF(G10="oui","Salaire horaire II","")</f>
        <v/>
      </c>
      <c r="B29" s="266" t="str">
        <f>IF(OR(A29="Salaire horaire Quali B",A29="Salaire horaire II"),"CHF"," ")</f>
        <v xml:space="preserve"> </v>
      </c>
      <c r="C29" s="233" t="str">
        <f t="shared" ref="C29:H29" si="8">IF($C$16="Salaire horaire",(IF(OR((DATEDIF($F$7,C21,"Y")&lt;20),(DATEDIF($F$7,C21,"Y")&gt;49)),$M$13/110.64%*(C28),$M$13/108.33%*(C28))),"")</f>
        <v/>
      </c>
      <c r="D29" s="233" t="str">
        <f t="shared" si="8"/>
        <v/>
      </c>
      <c r="E29" s="233" t="str">
        <f t="shared" si="8"/>
        <v/>
      </c>
      <c r="F29" s="233" t="str">
        <f t="shared" si="8"/>
        <v/>
      </c>
      <c r="G29" s="233" t="str">
        <f t="shared" si="8"/>
        <v/>
      </c>
      <c r="H29" s="234" t="str">
        <f t="shared" si="8"/>
        <v/>
      </c>
      <c r="I29" s="308" t="str">
        <f t="shared" si="0"/>
        <v/>
      </c>
      <c r="J29" s="266" t="str">
        <f>IF(OR(I29="Salaire horaire Quali B",I29="Salaire horaire II"),"CHF"," ")</f>
        <v xml:space="preserve"> </v>
      </c>
      <c r="K29" s="233" t="str">
        <f t="shared" ref="K29:P29" si="9">IF($C$16="Salaire horaire",(IF(OR((DATEDIF($F$7,K21,"Y")&lt;20),(DATEDIF($F$7,K21,"Y")&gt;49)),$M$13/110.64%*(K28),$M$13/108.33%*(K28))),"")</f>
        <v/>
      </c>
      <c r="L29" s="233" t="str">
        <f t="shared" si="9"/>
        <v/>
      </c>
      <c r="M29" s="233" t="str">
        <f t="shared" si="9"/>
        <v/>
      </c>
      <c r="N29" s="233" t="str">
        <f t="shared" si="9"/>
        <v/>
      </c>
      <c r="O29" s="233" t="str">
        <f t="shared" si="9"/>
        <v/>
      </c>
      <c r="P29" s="234" t="str">
        <f t="shared" si="9"/>
        <v/>
      </c>
      <c r="Q29" s="300">
        <f t="shared" si="3"/>
        <v>0</v>
      </c>
      <c r="R29" s="65"/>
      <c r="S29" s="461"/>
      <c r="T29" s="462"/>
      <c r="U29" s="463"/>
      <c r="V29" s="404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08" t="str">
        <f>IF($C$16="Salaire horaire","Supplément de vacances","")</f>
        <v/>
      </c>
      <c r="B30" s="266" t="str">
        <f>IF(A30="Supplément de vacances","CHF"," ")</f>
        <v xml:space="preserve"> </v>
      </c>
      <c r="C30" s="233">
        <f t="shared" ref="C30:H30" si="10">IF($C$16="Salaire horaire",(ROUND(IF(OR((DATEDIF($F$7,C$21,"Y")&lt;20),(DATEDIF($F$7,C$21,"Y")&gt;49)),(C$27+C$29)*10.64%,(C$27+C$29)*8.33%),2)),)</f>
        <v>0</v>
      </c>
      <c r="D30" s="233">
        <f t="shared" si="10"/>
        <v>0</v>
      </c>
      <c r="E30" s="233">
        <f t="shared" si="10"/>
        <v>0</v>
      </c>
      <c r="F30" s="233">
        <f t="shared" si="10"/>
        <v>0</v>
      </c>
      <c r="G30" s="233">
        <f t="shared" si="10"/>
        <v>0</v>
      </c>
      <c r="H30" s="234">
        <f t="shared" si="10"/>
        <v>0</v>
      </c>
      <c r="I30" s="308" t="str">
        <f t="shared" si="0"/>
        <v/>
      </c>
      <c r="J30" s="266" t="str">
        <f>IF(I30="Supplément de vacances","CHF"," ")</f>
        <v xml:space="preserve"> </v>
      </c>
      <c r="K30" s="233">
        <f t="shared" ref="K30:P30" si="11">IF($C$16="Salaire horaire",(ROUND(IF(OR((DATEDIF($F$7,K$21,"Y")&lt;20),(DATEDIF($F$7,K$21,"Y")&gt;49)),(K$27+K$29)*10.64%,(K$27+K$29)*8.33%),2)),)</f>
        <v>0</v>
      </c>
      <c r="L30" s="233">
        <f t="shared" si="11"/>
        <v>0</v>
      </c>
      <c r="M30" s="233">
        <f t="shared" si="11"/>
        <v>0</v>
      </c>
      <c r="N30" s="233">
        <f t="shared" si="11"/>
        <v>0</v>
      </c>
      <c r="O30" s="233">
        <f t="shared" si="11"/>
        <v>0</v>
      </c>
      <c r="P30" s="234">
        <f t="shared" si="11"/>
        <v>0</v>
      </c>
      <c r="Q30" s="300">
        <f t="shared" si="3"/>
        <v>0</v>
      </c>
      <c r="R30" s="65"/>
      <c r="S30" s="461"/>
      <c r="T30" s="462"/>
      <c r="U30" s="463"/>
      <c r="V30" s="404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09" t="s">
        <v>127</v>
      </c>
      <c r="B31" s="267" t="s">
        <v>128</v>
      </c>
      <c r="C31" s="412"/>
      <c r="D31" s="413"/>
      <c r="E31" s="413"/>
      <c r="F31" s="413"/>
      <c r="G31" s="413"/>
      <c r="H31" s="414"/>
      <c r="I31" s="309" t="str">
        <f t="shared" si="0"/>
        <v>Repas &amp; logement</v>
      </c>
      <c r="J31" s="267" t="s">
        <v>128</v>
      </c>
      <c r="K31" s="412"/>
      <c r="L31" s="412"/>
      <c r="M31" s="412"/>
      <c r="N31" s="412"/>
      <c r="O31" s="412"/>
      <c r="P31" s="414"/>
      <c r="Q31" s="83">
        <f t="shared" si="3"/>
        <v>0</v>
      </c>
      <c r="R31" s="65"/>
      <c r="S31" s="457">
        <f>IF(AND(M7+M12&gt;8,T11=0),"Remarque: à partir de 8 heures de travail effectives par semaine, l’employé doit avoir souscrit une assurance-accidents non professionnels!",0)</f>
        <v>0</v>
      </c>
      <c r="T31" s="458"/>
      <c r="U31" s="459"/>
      <c r="V31" s="403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09" t="s">
        <v>129</v>
      </c>
      <c r="B32" s="268" t="s">
        <v>128</v>
      </c>
      <c r="C32" s="412"/>
      <c r="D32" s="413"/>
      <c r="E32" s="413"/>
      <c r="F32" s="413"/>
      <c r="G32" s="413"/>
      <c r="H32" s="415"/>
      <c r="I32" s="309" t="str">
        <f t="shared" si="0"/>
        <v>Oblig. de verser le salaire (art. 324a CO) (soumis à l'AVS)</v>
      </c>
      <c r="J32" s="268" t="s">
        <v>128</v>
      </c>
      <c r="K32" s="413"/>
      <c r="L32" s="413"/>
      <c r="M32" s="413"/>
      <c r="N32" s="416"/>
      <c r="O32" s="413"/>
      <c r="P32" s="415"/>
      <c r="Q32" s="70">
        <f t="shared" si="3"/>
        <v>0</v>
      </c>
      <c r="R32" s="65"/>
      <c r="S32" s="457"/>
      <c r="T32" s="458"/>
      <c r="U32" s="459"/>
      <c r="V32" s="403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09" t="s">
        <v>130</v>
      </c>
      <c r="B33" s="268" t="s">
        <v>128</v>
      </c>
      <c r="C33" s="412"/>
      <c r="D33" s="413"/>
      <c r="E33" s="413"/>
      <c r="F33" s="413"/>
      <c r="G33" s="413"/>
      <c r="H33" s="415"/>
      <c r="I33" s="309" t="str">
        <f t="shared" si="0"/>
        <v>Oblig. de verser le salaire
(soumis à l'AVS)</v>
      </c>
      <c r="J33" s="268" t="s">
        <v>128</v>
      </c>
      <c r="K33" s="413"/>
      <c r="L33" s="413"/>
      <c r="M33" s="413"/>
      <c r="N33" s="416"/>
      <c r="O33" s="413"/>
      <c r="P33" s="415"/>
      <c r="Q33" s="70">
        <f t="shared" si="3"/>
        <v>0</v>
      </c>
      <c r="R33" s="65"/>
      <c r="S33" s="457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8"/>
      <c r="U33" s="459"/>
      <c r="V33" s="403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36" x14ac:dyDescent="0.2">
      <c r="A34" s="310" t="s">
        <v>131</v>
      </c>
      <c r="B34" s="269" t="s">
        <v>128</v>
      </c>
      <c r="C34" s="412"/>
      <c r="D34" s="413"/>
      <c r="E34" s="413"/>
      <c r="F34" s="413"/>
      <c r="G34" s="413"/>
      <c r="H34" s="415"/>
      <c r="I34" s="310" t="str">
        <f t="shared" si="0"/>
        <v>Allocation maternité / militaire (soumis à l'AVS)</v>
      </c>
      <c r="J34" s="269" t="s">
        <v>128</v>
      </c>
      <c r="K34" s="413"/>
      <c r="L34" s="413"/>
      <c r="M34" s="413"/>
      <c r="N34" s="416"/>
      <c r="O34" s="413"/>
      <c r="P34" s="415"/>
      <c r="Q34" s="70">
        <f t="shared" si="3"/>
        <v>0</v>
      </c>
      <c r="R34" s="57"/>
      <c r="S34" s="457"/>
      <c r="T34" s="458"/>
      <c r="U34" s="459"/>
      <c r="V34" s="403"/>
      <c r="W34" s="2">
        <f>IF(S33&gt;1,1,0)</f>
        <v>0</v>
      </c>
      <c r="X34" s="101"/>
      <c r="Y34" s="110">
        <f t="shared" ref="Y34:AD34" si="12">C21</f>
        <v>45292</v>
      </c>
      <c r="Z34" s="110">
        <f t="shared" si="12"/>
        <v>45323</v>
      </c>
      <c r="AA34" s="110">
        <f t="shared" si="12"/>
        <v>45352</v>
      </c>
      <c r="AB34" s="110">
        <f t="shared" si="12"/>
        <v>45383</v>
      </c>
      <c r="AC34" s="110">
        <f t="shared" si="12"/>
        <v>45413</v>
      </c>
      <c r="AD34" s="110">
        <f t="shared" si="12"/>
        <v>45444</v>
      </c>
      <c r="AE34" s="110">
        <f t="shared" ref="AE34:AJ34" si="13">K21</f>
        <v>45474</v>
      </c>
      <c r="AF34" s="110">
        <f t="shared" si="13"/>
        <v>45505</v>
      </c>
      <c r="AG34" s="110">
        <f t="shared" si="13"/>
        <v>45536</v>
      </c>
      <c r="AH34" s="110">
        <f t="shared" si="13"/>
        <v>45566</v>
      </c>
      <c r="AI34" s="110">
        <f t="shared" si="13"/>
        <v>45597</v>
      </c>
      <c r="AJ34" s="110">
        <f t="shared" si="13"/>
        <v>45627</v>
      </c>
    </row>
    <row r="35" spans="1:37" s="2" customFormat="1" ht="24" x14ac:dyDescent="0.2">
      <c r="A35" s="310" t="s">
        <v>132</v>
      </c>
      <c r="B35" s="269" t="s">
        <v>128</v>
      </c>
      <c r="C35" s="412"/>
      <c r="D35" s="413"/>
      <c r="E35" s="413"/>
      <c r="F35" s="413"/>
      <c r="G35" s="413"/>
      <c r="H35" s="415"/>
      <c r="I35" s="310" t="str">
        <f t="shared" si="0"/>
        <v>Indemnité d'assurance
(non soumis AVS)</v>
      </c>
      <c r="J35" s="269" t="s">
        <v>128</v>
      </c>
      <c r="K35" s="413"/>
      <c r="L35" s="413"/>
      <c r="M35" s="413"/>
      <c r="N35" s="416"/>
      <c r="O35" s="413"/>
      <c r="P35" s="415"/>
      <c r="Q35" s="70">
        <f t="shared" si="3"/>
        <v>0</v>
      </c>
      <c r="R35" s="57"/>
      <c r="S35" s="457"/>
      <c r="T35" s="458"/>
      <c r="U35" s="459"/>
      <c r="V35" s="403"/>
      <c r="W35" s="57"/>
      <c r="X35" s="101" t="s">
        <v>133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08" t="s">
        <v>134</v>
      </c>
      <c r="B36" s="267" t="s">
        <v>128</v>
      </c>
      <c r="C36" s="412"/>
      <c r="D36" s="413"/>
      <c r="E36" s="413"/>
      <c r="F36" s="413"/>
      <c r="G36" s="413"/>
      <c r="H36" s="415"/>
      <c r="I36" s="308" t="str">
        <f t="shared" si="0"/>
        <v>Allocations familiales</v>
      </c>
      <c r="J36" s="267" t="s">
        <v>128</v>
      </c>
      <c r="K36" s="413"/>
      <c r="L36" s="413"/>
      <c r="M36" s="413"/>
      <c r="N36" s="416"/>
      <c r="O36" s="413"/>
      <c r="P36" s="415"/>
      <c r="Q36" s="70">
        <f t="shared" si="3"/>
        <v>0</v>
      </c>
      <c r="R36" s="57"/>
      <c r="S36" s="457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8"/>
      <c r="U36" s="459"/>
      <c r="V36" s="403"/>
      <c r="W36" s="57"/>
      <c r="X36" s="105" t="s">
        <v>135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1" t="s">
        <v>136</v>
      </c>
      <c r="B37" s="270" t="s">
        <v>128</v>
      </c>
      <c r="C37" s="286">
        <f t="shared" ref="C37:H37" si="17">IF($C$16="Salaire horaire",SUM(C27,C29,C30,C31,C32,C33,C34,C35,C36),SUM(C22,C23,C30,C31,C32,C33,C34,C35,C36))</f>
        <v>0</v>
      </c>
      <c r="D37" s="286">
        <f t="shared" si="17"/>
        <v>0</v>
      </c>
      <c r="E37" s="286">
        <f t="shared" si="17"/>
        <v>0</v>
      </c>
      <c r="F37" s="286">
        <f t="shared" si="17"/>
        <v>0</v>
      </c>
      <c r="G37" s="286">
        <f t="shared" si="17"/>
        <v>0</v>
      </c>
      <c r="H37" s="238">
        <f t="shared" si="17"/>
        <v>0</v>
      </c>
      <c r="I37" s="311" t="str">
        <f t="shared" si="0"/>
        <v>Salaire brut</v>
      </c>
      <c r="J37" s="270" t="s">
        <v>128</v>
      </c>
      <c r="K37" s="286">
        <f t="shared" ref="K37:P37" si="18">IF($C$16="Salaire horaire",SUM(K27,K29,K30,K31,K32,K33,K34,K35,K36),SUM(K22,K23,K30,K31,K32,K33,K34,K35,K36))</f>
        <v>0</v>
      </c>
      <c r="L37" s="286">
        <f t="shared" si="18"/>
        <v>0</v>
      </c>
      <c r="M37" s="286">
        <f t="shared" si="18"/>
        <v>0</v>
      </c>
      <c r="N37" s="302">
        <f t="shared" si="18"/>
        <v>0</v>
      </c>
      <c r="O37" s="286">
        <f t="shared" si="18"/>
        <v>0</v>
      </c>
      <c r="P37" s="238">
        <f t="shared" si="18"/>
        <v>0</v>
      </c>
      <c r="Q37" s="238">
        <f t="shared" si="3"/>
        <v>0</v>
      </c>
      <c r="R37" s="57"/>
      <c r="S37" s="457"/>
      <c r="T37" s="458"/>
      <c r="U37" s="459"/>
      <c r="V37" s="403"/>
      <c r="W37" s="2">
        <f>IF(S36&gt;1,5,0)</f>
        <v>0</v>
      </c>
      <c r="X37" s="101" t="s">
        <v>137</v>
      </c>
      <c r="Y37" s="163">
        <f t="shared" ref="Y37:AD37" si="19">IF(Y35=0,0,IF($C$16="Salaire horaire",SUM(C27,C29,C30,C31,C32,C33,C34),SUM(C22,C23,C30,C31,C32,C33,C34)))</f>
        <v>0</v>
      </c>
      <c r="Z37" s="163">
        <f t="shared" si="19"/>
        <v>0</v>
      </c>
      <c r="AA37" s="163">
        <f t="shared" si="19"/>
        <v>0</v>
      </c>
      <c r="AB37" s="163">
        <f t="shared" si="19"/>
        <v>0</v>
      </c>
      <c r="AC37" s="163">
        <f t="shared" si="19"/>
        <v>0</v>
      </c>
      <c r="AD37" s="163">
        <f t="shared" si="19"/>
        <v>0</v>
      </c>
      <c r="AE37" s="163">
        <f t="shared" ref="AE37:AJ37" si="20">IF(AE35=0,0,IF($C$16="Salaire horaire",SUM(K27,K29,K30,K31,K32,K33,K34),SUM(K22,K23,K30,K31,K32,K33,K34)))</f>
        <v>0</v>
      </c>
      <c r="AF37" s="163">
        <f t="shared" si="20"/>
        <v>0</v>
      </c>
      <c r="AG37" s="163">
        <f t="shared" si="20"/>
        <v>0</v>
      </c>
      <c r="AH37" s="163">
        <f t="shared" si="20"/>
        <v>0</v>
      </c>
      <c r="AI37" s="163">
        <f t="shared" si="20"/>
        <v>0</v>
      </c>
      <c r="AJ37" s="163">
        <f t="shared" si="20"/>
        <v>0</v>
      </c>
    </row>
    <row r="38" spans="1:37" s="2" customFormat="1" ht="12" x14ac:dyDescent="0.2">
      <c r="A38" s="308" t="s">
        <v>138</v>
      </c>
      <c r="B38" s="271" t="s">
        <v>128</v>
      </c>
      <c r="C38" s="430">
        <f t="shared" ref="C38:H38" si="21">Y42</f>
        <v>0</v>
      </c>
      <c r="D38" s="430">
        <f t="shared" si="21"/>
        <v>0</v>
      </c>
      <c r="E38" s="430">
        <f t="shared" si="21"/>
        <v>0</v>
      </c>
      <c r="F38" s="430">
        <f t="shared" si="21"/>
        <v>0</v>
      </c>
      <c r="G38" s="430">
        <f t="shared" si="21"/>
        <v>0</v>
      </c>
      <c r="H38" s="431">
        <f t="shared" si="21"/>
        <v>0</v>
      </c>
      <c r="I38" s="308" t="str">
        <f t="shared" si="0"/>
        <v>Franchise rentier AVS</v>
      </c>
      <c r="J38" s="271" t="s">
        <v>128</v>
      </c>
      <c r="K38" s="430">
        <f t="shared" ref="K38:P38" si="22">AE42</f>
        <v>0</v>
      </c>
      <c r="L38" s="430">
        <f t="shared" si="22"/>
        <v>0</v>
      </c>
      <c r="M38" s="430">
        <f t="shared" si="22"/>
        <v>0</v>
      </c>
      <c r="N38" s="430">
        <f t="shared" si="22"/>
        <v>0</v>
      </c>
      <c r="O38" s="430">
        <f t="shared" si="22"/>
        <v>0</v>
      </c>
      <c r="P38" s="432">
        <f t="shared" si="22"/>
        <v>0</v>
      </c>
      <c r="Q38" s="303">
        <f>SUM(C38:H38)+SUM(K38:P38)</f>
        <v>0</v>
      </c>
      <c r="R38" s="57"/>
      <c r="S38" s="457"/>
      <c r="T38" s="458"/>
      <c r="U38" s="459"/>
      <c r="V38" s="403"/>
      <c r="W38" s="57"/>
      <c r="X38" s="2" t="s">
        <v>139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1" t="s">
        <v>140</v>
      </c>
      <c r="B39" s="270" t="s">
        <v>128</v>
      </c>
      <c r="C39" s="286">
        <f t="shared" ref="C39:H39" si="24">C37-C36-C35-C38</f>
        <v>0</v>
      </c>
      <c r="D39" s="286">
        <f t="shared" si="24"/>
        <v>0</v>
      </c>
      <c r="E39" s="286">
        <f t="shared" si="24"/>
        <v>0</v>
      </c>
      <c r="F39" s="286">
        <f t="shared" si="24"/>
        <v>0</v>
      </c>
      <c r="G39" s="286">
        <f t="shared" si="24"/>
        <v>0</v>
      </c>
      <c r="H39" s="238">
        <f t="shared" si="24"/>
        <v>0</v>
      </c>
      <c r="I39" s="311" t="str">
        <f t="shared" si="0"/>
        <v>AVS montant brut</v>
      </c>
      <c r="J39" s="270" t="s">
        <v>128</v>
      </c>
      <c r="K39" s="286">
        <f t="shared" ref="K39:P39" si="25">K37-K36-K35-K38</f>
        <v>0</v>
      </c>
      <c r="L39" s="286">
        <f t="shared" si="25"/>
        <v>0</v>
      </c>
      <c r="M39" s="286">
        <f t="shared" si="25"/>
        <v>0</v>
      </c>
      <c r="N39" s="302">
        <f t="shared" si="25"/>
        <v>0</v>
      </c>
      <c r="O39" s="286">
        <f t="shared" si="25"/>
        <v>0</v>
      </c>
      <c r="P39" s="238">
        <f t="shared" si="25"/>
        <v>0</v>
      </c>
      <c r="Q39" s="238">
        <f>ROUND((SUM(C39:H39)+SUM(K39:P39))*20,0)/20</f>
        <v>0</v>
      </c>
      <c r="R39" s="79"/>
      <c r="S39" s="457"/>
      <c r="T39" s="458"/>
      <c r="U39" s="459"/>
      <c r="V39" s="403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08" t="str">
        <f>CONCATENATE("AVS/AI/APG ",T8*100,"%")</f>
        <v>AVS/AI/APG 0%</v>
      </c>
      <c r="B40" s="272" t="s">
        <v>128</v>
      </c>
      <c r="C40" s="230">
        <f t="shared" ref="C40:H40" si="26">C$39*-$T$8</f>
        <v>0</v>
      </c>
      <c r="D40" s="230">
        <f t="shared" si="26"/>
        <v>0</v>
      </c>
      <c r="E40" s="230">
        <f t="shared" si="26"/>
        <v>0</v>
      </c>
      <c r="F40" s="230">
        <f t="shared" si="26"/>
        <v>0</v>
      </c>
      <c r="G40" s="230">
        <f t="shared" si="26"/>
        <v>0</v>
      </c>
      <c r="H40" s="231">
        <f t="shared" si="26"/>
        <v>0</v>
      </c>
      <c r="I40" s="322" t="str">
        <f t="shared" si="0"/>
        <v>AVS/AI/APG 0%</v>
      </c>
      <c r="J40" s="272" t="s">
        <v>128</v>
      </c>
      <c r="K40" s="230">
        <f t="shared" ref="K40:P40" si="27">K$39*-$T$8</f>
        <v>0</v>
      </c>
      <c r="L40" s="230">
        <f t="shared" si="27"/>
        <v>0</v>
      </c>
      <c r="M40" s="230">
        <f t="shared" si="27"/>
        <v>0</v>
      </c>
      <c r="N40" s="232">
        <f t="shared" si="27"/>
        <v>0</v>
      </c>
      <c r="O40" s="230">
        <f t="shared" si="27"/>
        <v>0</v>
      </c>
      <c r="P40" s="231">
        <f t="shared" si="27"/>
        <v>0</v>
      </c>
      <c r="Q40" s="235">
        <f t="shared" ref="Q40:Q48" si="28">ROUND((SUM(C40:H40)+SUM(K40:P40))*20,0)/20</f>
        <v>0</v>
      </c>
      <c r="R40" s="65"/>
      <c r="S40" s="474"/>
      <c r="T40" s="475"/>
      <c r="U40" s="476"/>
      <c r="V40" s="403"/>
      <c r="W40" s="65"/>
      <c r="X40" s="2" t="s">
        <v>141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08" t="str">
        <f>CONCATENATE("AC ",T9*100,"%")</f>
        <v>AC 0%</v>
      </c>
      <c r="B41" s="267" t="s">
        <v>128</v>
      </c>
      <c r="C41" s="233">
        <f t="shared" ref="C41:H41" si="30">C$39*(IF(DATEDIF($F$7,$D$1,"Y")&lt;18,0,IF(DATEDIF($F$7,C21,"Y")&gt;(IF($C$10="féminin",63,64)),0,-1.1%)))</f>
        <v>0</v>
      </c>
      <c r="D41" s="233">
        <f t="shared" si="30"/>
        <v>0</v>
      </c>
      <c r="E41" s="233">
        <f t="shared" si="30"/>
        <v>0</v>
      </c>
      <c r="F41" s="233">
        <f t="shared" si="30"/>
        <v>0</v>
      </c>
      <c r="G41" s="233">
        <f t="shared" si="30"/>
        <v>0</v>
      </c>
      <c r="H41" s="234">
        <f t="shared" si="30"/>
        <v>0</v>
      </c>
      <c r="I41" s="322" t="str">
        <f t="shared" si="0"/>
        <v>AC 0%</v>
      </c>
      <c r="J41" s="267" t="s">
        <v>128</v>
      </c>
      <c r="K41" s="233">
        <f t="shared" ref="K41:P41" si="31">K$39*(IF(DATEDIF($F$7,$D$1,"Y")&lt;18,0,IF(DATEDIF($F$7,K21,"Y")&gt;(IF($C$10="féminin",63,64)),0,-1.1%)))</f>
        <v>0</v>
      </c>
      <c r="L41" s="233">
        <f t="shared" si="31"/>
        <v>0</v>
      </c>
      <c r="M41" s="233">
        <f t="shared" si="31"/>
        <v>0</v>
      </c>
      <c r="N41" s="232">
        <f t="shared" si="31"/>
        <v>0</v>
      </c>
      <c r="O41" s="233">
        <f t="shared" si="31"/>
        <v>0</v>
      </c>
      <c r="P41" s="234">
        <f t="shared" si="31"/>
        <v>0</v>
      </c>
      <c r="Q41" s="236">
        <f t="shared" si="28"/>
        <v>0</v>
      </c>
      <c r="R41" s="79"/>
      <c r="S41" s="472"/>
      <c r="T41" s="472"/>
      <c r="U41" s="472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08" t="str">
        <f>IF(T11&lt;0.01,"ANP",(CONCATENATE("ANP ",T11*100,"%")))</f>
        <v>ANP</v>
      </c>
      <c r="B42" s="267" t="s">
        <v>128</v>
      </c>
      <c r="C42" s="412">
        <f t="shared" ref="C42:H42" si="32">(C$37-C$34-C$35-C$36)*-$T$11</f>
        <v>0</v>
      </c>
      <c r="D42" s="412">
        <f t="shared" si="32"/>
        <v>0</v>
      </c>
      <c r="E42" s="412">
        <f t="shared" si="32"/>
        <v>0</v>
      </c>
      <c r="F42" s="412">
        <f t="shared" si="32"/>
        <v>0</v>
      </c>
      <c r="G42" s="412">
        <f t="shared" si="32"/>
        <v>0</v>
      </c>
      <c r="H42" s="414">
        <f t="shared" si="32"/>
        <v>0</v>
      </c>
      <c r="I42" s="322" t="str">
        <f t="shared" si="0"/>
        <v>ANP</v>
      </c>
      <c r="J42" s="267" t="s">
        <v>128</v>
      </c>
      <c r="K42" s="412">
        <f t="shared" ref="K42:P42" si="33">(K$37-K$34-K$35-K$36)*-$T$11</f>
        <v>0</v>
      </c>
      <c r="L42" s="412">
        <f t="shared" si="33"/>
        <v>0</v>
      </c>
      <c r="M42" s="412">
        <f t="shared" si="33"/>
        <v>0</v>
      </c>
      <c r="N42" s="416">
        <f t="shared" si="33"/>
        <v>0</v>
      </c>
      <c r="O42" s="412">
        <f t="shared" si="33"/>
        <v>0</v>
      </c>
      <c r="P42" s="414">
        <f t="shared" si="33"/>
        <v>0</v>
      </c>
      <c r="Q42" s="236">
        <f t="shared" si="28"/>
        <v>0</v>
      </c>
      <c r="R42" s="65"/>
      <c r="S42" s="473"/>
      <c r="T42" s="473"/>
      <c r="U42" s="473"/>
      <c r="V42" s="79"/>
      <c r="W42" s="2">
        <f>IF(S41&gt;1,1,0)</f>
        <v>0</v>
      </c>
      <c r="X42" s="2" t="s">
        <v>142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08" t="str">
        <f>IF(T13&lt;0.0000001,"IJM",(CONCATENATE("IJM ",T13*100,"%")))</f>
        <v>IJM</v>
      </c>
      <c r="B43" s="267" t="s">
        <v>128</v>
      </c>
      <c r="C43" s="412">
        <f t="shared" ref="C43:H43" si="35">(C$37-C$34-C$35-C$36)*-$T$13</f>
        <v>0</v>
      </c>
      <c r="D43" s="412">
        <f t="shared" si="35"/>
        <v>0</v>
      </c>
      <c r="E43" s="412">
        <f t="shared" si="35"/>
        <v>0</v>
      </c>
      <c r="F43" s="412">
        <f t="shared" si="35"/>
        <v>0</v>
      </c>
      <c r="G43" s="412">
        <f t="shared" si="35"/>
        <v>0</v>
      </c>
      <c r="H43" s="414">
        <f t="shared" si="35"/>
        <v>0</v>
      </c>
      <c r="I43" s="322" t="str">
        <f t="shared" si="0"/>
        <v>IJM</v>
      </c>
      <c r="J43" s="267" t="s">
        <v>128</v>
      </c>
      <c r="K43" s="412">
        <f t="shared" ref="K43:P43" si="36">(K$37-K$34-K$35-K$36)*-$T$13</f>
        <v>0</v>
      </c>
      <c r="L43" s="412">
        <f t="shared" si="36"/>
        <v>0</v>
      </c>
      <c r="M43" s="412">
        <f t="shared" si="36"/>
        <v>0</v>
      </c>
      <c r="N43" s="416">
        <f t="shared" si="36"/>
        <v>0</v>
      </c>
      <c r="O43" s="412">
        <f t="shared" si="36"/>
        <v>0</v>
      </c>
      <c r="P43" s="414">
        <f t="shared" si="36"/>
        <v>0</v>
      </c>
      <c r="Q43" s="236">
        <f t="shared" si="28"/>
        <v>0</v>
      </c>
      <c r="R43" s="65"/>
      <c r="S43" s="473"/>
      <c r="T43" s="473"/>
      <c r="U43" s="473"/>
      <c r="V43" s="65"/>
      <c r="W43" s="65"/>
      <c r="X43" s="101" t="s">
        <v>143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1">
        <f>MROUND(SUM(Y43:AJ43),0.05)</f>
        <v>0</v>
      </c>
    </row>
    <row r="44" spans="1:37" s="2" customFormat="1" ht="15" customHeight="1" x14ac:dyDescent="0.2">
      <c r="A44" s="308" t="str">
        <f>IF(T16&gt;0.01%,(CONCATENATE("LPP ",T16*100,"%")),IF(T15&lt;0.01,"LPP",(CONCATENATE("LPP ","CHF ",T15))))</f>
        <v>LPP</v>
      </c>
      <c r="B44" s="267" t="s">
        <v>128</v>
      </c>
      <c r="C44" s="412">
        <f t="shared" ref="C44:H44" si="39">IF(C39&lt;1,0,(IF(DATEDIF($F$7,$D$1,"Y")&lt;19,0,(IF(DATEDIF($F$7,C21,"Y")&gt;(IF($C$10="féminin",63,64)),0,IF($T$16&gt;0.1%,-$T$16*C39,-$T$15))))))</f>
        <v>0</v>
      </c>
      <c r="D44" s="412">
        <f t="shared" si="39"/>
        <v>0</v>
      </c>
      <c r="E44" s="412">
        <f t="shared" si="39"/>
        <v>0</v>
      </c>
      <c r="F44" s="412">
        <f t="shared" si="39"/>
        <v>0</v>
      </c>
      <c r="G44" s="412">
        <f t="shared" si="39"/>
        <v>0</v>
      </c>
      <c r="H44" s="414">
        <f t="shared" si="39"/>
        <v>0</v>
      </c>
      <c r="I44" s="322" t="str">
        <f t="shared" si="0"/>
        <v>LPP</v>
      </c>
      <c r="J44" s="267" t="s">
        <v>128</v>
      </c>
      <c r="K44" s="412">
        <f t="shared" ref="K44:P44" si="40">IF(K39&lt;1,0,(IF(DATEDIF($F$7,$D$1,"Y")&lt;19,0,(IF(DATEDIF($F$7,K21,"Y")&gt;(IF($C$10="féminin",63,64)),0,IF($T$16&gt;0.1%,-$T$16*K39,-$T$15))))))</f>
        <v>0</v>
      </c>
      <c r="L44" s="412">
        <f t="shared" si="40"/>
        <v>0</v>
      </c>
      <c r="M44" s="412">
        <f t="shared" si="40"/>
        <v>0</v>
      </c>
      <c r="N44" s="416">
        <f t="shared" si="40"/>
        <v>0</v>
      </c>
      <c r="O44" s="412">
        <f t="shared" si="40"/>
        <v>0</v>
      </c>
      <c r="P44" s="414">
        <f t="shared" si="40"/>
        <v>0</v>
      </c>
      <c r="Q44" s="236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08" t="str">
        <f>IF(G13="à choisir","",IF(OR(Y9&lt;5%,G13="ordinaire",)," ",(CONCATENATE("Impôt selon LTN ",Y9*100,"%"))))</f>
        <v/>
      </c>
      <c r="B45" s="266" t="str">
        <f>IF(A45="Impôt selon LTN 5%","CHF"," ")</f>
        <v xml:space="preserve"> </v>
      </c>
      <c r="C45" s="412">
        <f t="shared" ref="C45:H45" si="41">IF(C39+C38=0,0,IF(DATEDIF($F$7,C21,"Y")&lt;(IF($C$10="féminin",64,65)),C39*-$Y$9,IF(AND(C38&gt;1),(C39+C38)*-$Y$9,C39*-$Y$9)))</f>
        <v>0</v>
      </c>
      <c r="D45" s="412">
        <f t="shared" si="41"/>
        <v>0</v>
      </c>
      <c r="E45" s="412">
        <f t="shared" si="41"/>
        <v>0</v>
      </c>
      <c r="F45" s="412">
        <f t="shared" si="41"/>
        <v>0</v>
      </c>
      <c r="G45" s="412">
        <f t="shared" si="41"/>
        <v>0</v>
      </c>
      <c r="H45" s="414">
        <f t="shared" si="41"/>
        <v>0</v>
      </c>
      <c r="I45" s="308" t="str">
        <f t="shared" si="0"/>
        <v/>
      </c>
      <c r="J45" s="266" t="str">
        <f>IF(I45="Impôt selon LTN 5%","CHF"," ")</f>
        <v xml:space="preserve"> </v>
      </c>
      <c r="K45" s="412">
        <f t="shared" ref="K45:P45" si="42">IF(K39+K38=0,0,IF(DATEDIF($F$7,K21,"Y")&lt;(IF($C$10="féminin",64,65)),K39*-$Y$9,IF(AND(K38&gt;1),(K39+K38)*-$Y$9,K39*-$Y$9)))</f>
        <v>0</v>
      </c>
      <c r="L45" s="412">
        <f t="shared" si="42"/>
        <v>0</v>
      </c>
      <c r="M45" s="412">
        <f t="shared" si="42"/>
        <v>0</v>
      </c>
      <c r="N45" s="412">
        <f t="shared" si="42"/>
        <v>0</v>
      </c>
      <c r="O45" s="412">
        <f t="shared" si="42"/>
        <v>0</v>
      </c>
      <c r="P45" s="414">
        <f t="shared" si="42"/>
        <v>0</v>
      </c>
      <c r="Q45" s="300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08" t="str">
        <f>IF(G13="ordinaire","Impôt à la source","")</f>
        <v/>
      </c>
      <c r="B46" s="266" t="str">
        <f>IF(A46="QST","CHF"," ")</f>
        <v xml:space="preserve"> </v>
      </c>
      <c r="C46" s="412"/>
      <c r="D46" s="412"/>
      <c r="E46" s="412"/>
      <c r="F46" s="412"/>
      <c r="G46" s="412"/>
      <c r="H46" s="415"/>
      <c r="I46" s="322" t="str">
        <f t="shared" si="0"/>
        <v/>
      </c>
      <c r="J46" s="266" t="str">
        <f>IF(I46="QST","CHF"," ")</f>
        <v xml:space="preserve"> </v>
      </c>
      <c r="K46" s="413"/>
      <c r="L46" s="413"/>
      <c r="M46" s="413"/>
      <c r="N46" s="416"/>
      <c r="O46" s="413"/>
      <c r="P46" s="415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08" t="s">
        <v>144</v>
      </c>
      <c r="B47" s="267" t="s">
        <v>128</v>
      </c>
      <c r="C47" s="412"/>
      <c r="D47" s="413"/>
      <c r="E47" s="413"/>
      <c r="F47" s="413"/>
      <c r="G47" s="413"/>
      <c r="H47" s="415"/>
      <c r="I47" s="322" t="str">
        <f t="shared" si="0"/>
        <v>Frais effectifs</v>
      </c>
      <c r="J47" s="267" t="s">
        <v>128</v>
      </c>
      <c r="K47" s="413"/>
      <c r="L47" s="413"/>
      <c r="M47" s="413"/>
      <c r="N47" s="416"/>
      <c r="O47" s="413"/>
      <c r="P47" s="415"/>
      <c r="Q47" s="70">
        <f t="shared" si="28"/>
        <v>0</v>
      </c>
      <c r="R47" s="165"/>
      <c r="S47" s="65"/>
      <c r="T47" s="65"/>
      <c r="U47" s="65"/>
      <c r="V47" s="165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2" t="s">
        <v>127</v>
      </c>
      <c r="B48" s="271" t="s">
        <v>128</v>
      </c>
      <c r="C48" s="412">
        <f>-C31</f>
        <v>0</v>
      </c>
      <c r="D48" s="413">
        <f t="shared" ref="D48:H48" si="43">-D31</f>
        <v>0</v>
      </c>
      <c r="E48" s="413">
        <f t="shared" si="43"/>
        <v>0</v>
      </c>
      <c r="F48" s="413">
        <f t="shared" si="43"/>
        <v>0</v>
      </c>
      <c r="G48" s="413">
        <f t="shared" si="43"/>
        <v>0</v>
      </c>
      <c r="H48" s="415">
        <f t="shared" si="43"/>
        <v>0</v>
      </c>
      <c r="I48" s="323" t="str">
        <f t="shared" si="0"/>
        <v>Repas &amp; logement</v>
      </c>
      <c r="J48" s="271" t="s">
        <v>128</v>
      </c>
      <c r="K48" s="413">
        <f t="shared" ref="K48:P48" si="44">-K31</f>
        <v>0</v>
      </c>
      <c r="L48" s="413">
        <f t="shared" si="44"/>
        <v>0</v>
      </c>
      <c r="M48" s="413">
        <f t="shared" si="44"/>
        <v>0</v>
      </c>
      <c r="N48" s="416">
        <f t="shared" si="44"/>
        <v>0</v>
      </c>
      <c r="O48" s="413">
        <f t="shared" si="44"/>
        <v>0</v>
      </c>
      <c r="P48" s="415">
        <f t="shared" si="44"/>
        <v>0</v>
      </c>
      <c r="Q48" s="237">
        <f t="shared" si="28"/>
        <v>0</v>
      </c>
      <c r="R48" s="57"/>
      <c r="S48" s="165"/>
      <c r="T48" s="165"/>
      <c r="U48" s="165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29" t="s">
        <v>145</v>
      </c>
      <c r="B49" s="330" t="s">
        <v>128</v>
      </c>
      <c r="C49" s="325">
        <f>MROUND(C37+(SUM(C40:C46)+C47+C48),0.05)</f>
        <v>0</v>
      </c>
      <c r="D49" s="325">
        <f t="shared" ref="D49:H49" si="45">MROUND(D37+(SUM(D40:D46)+D47+D48),0.05)</f>
        <v>0</v>
      </c>
      <c r="E49" s="325">
        <f t="shared" si="45"/>
        <v>0</v>
      </c>
      <c r="F49" s="325">
        <f t="shared" si="45"/>
        <v>0</v>
      </c>
      <c r="G49" s="325">
        <f t="shared" si="45"/>
        <v>0</v>
      </c>
      <c r="H49" s="327">
        <f t="shared" si="45"/>
        <v>0</v>
      </c>
      <c r="I49" s="329" t="str">
        <f t="shared" si="0"/>
        <v>Salaire net</v>
      </c>
      <c r="J49" s="330" t="s">
        <v>128</v>
      </c>
      <c r="K49" s="325">
        <f t="shared" ref="K49:P49" si="46">MROUND(K37+(SUM(K40:K46)+K47+K48),0.05)</f>
        <v>0</v>
      </c>
      <c r="L49" s="325">
        <f t="shared" si="46"/>
        <v>0</v>
      </c>
      <c r="M49" s="325">
        <f t="shared" si="46"/>
        <v>0</v>
      </c>
      <c r="N49" s="325">
        <f t="shared" si="46"/>
        <v>0</v>
      </c>
      <c r="O49" s="325">
        <f t="shared" si="46"/>
        <v>0</v>
      </c>
      <c r="P49" s="327">
        <f t="shared" si="46"/>
        <v>0</v>
      </c>
      <c r="Q49" s="238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1" t="s">
        <v>146</v>
      </c>
      <c r="B50" s="324" t="s">
        <v>128</v>
      </c>
      <c r="C50" s="412"/>
      <c r="D50" s="412"/>
      <c r="E50" s="412"/>
      <c r="F50" s="412"/>
      <c r="G50" s="412"/>
      <c r="H50" s="414"/>
      <c r="I50" s="331" t="str">
        <f t="shared" si="0"/>
        <v>Salaire net payé</v>
      </c>
      <c r="J50" s="324" t="s">
        <v>128</v>
      </c>
      <c r="K50" s="412"/>
      <c r="L50" s="412"/>
      <c r="M50" s="412"/>
      <c r="N50" s="412"/>
      <c r="O50" s="412"/>
      <c r="P50" s="414"/>
      <c r="Q50" s="305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2" t="s">
        <v>147</v>
      </c>
      <c r="B51" s="333" t="s">
        <v>128</v>
      </c>
      <c r="C51" s="326">
        <f>IF(C50=0,0,C50-C49)</f>
        <v>0</v>
      </c>
      <c r="D51" s="326">
        <f t="shared" ref="D51:H51" si="47">IF(D50=0,0,D50-D49)</f>
        <v>0</v>
      </c>
      <c r="E51" s="326">
        <f t="shared" si="47"/>
        <v>0</v>
      </c>
      <c r="F51" s="326">
        <f t="shared" si="47"/>
        <v>0</v>
      </c>
      <c r="G51" s="326">
        <f t="shared" si="47"/>
        <v>0</v>
      </c>
      <c r="H51" s="328">
        <f t="shared" si="47"/>
        <v>0</v>
      </c>
      <c r="I51" s="332" t="str">
        <f t="shared" si="0"/>
        <v>Différence</v>
      </c>
      <c r="J51" s="333" t="s">
        <v>128</v>
      </c>
      <c r="K51" s="326">
        <f t="shared" ref="K51:P51" si="48">IF(K50=0,0,K50-K49)</f>
        <v>0</v>
      </c>
      <c r="L51" s="326">
        <f t="shared" si="48"/>
        <v>0</v>
      </c>
      <c r="M51" s="326">
        <f t="shared" si="48"/>
        <v>0</v>
      </c>
      <c r="N51" s="326">
        <f t="shared" si="48"/>
        <v>0</v>
      </c>
      <c r="O51" s="326">
        <f t="shared" si="48"/>
        <v>0</v>
      </c>
      <c r="P51" s="328">
        <f t="shared" si="48"/>
        <v>0</v>
      </c>
      <c r="Q51" s="305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148</v>
      </c>
      <c r="B52" s="321"/>
      <c r="C52" s="448"/>
      <c r="D52" s="448"/>
      <c r="E52" s="448"/>
      <c r="F52" s="448"/>
      <c r="G52" s="448"/>
      <c r="H52" s="446"/>
      <c r="I52" s="71" t="str">
        <f t="shared" si="0"/>
        <v>Remarques</v>
      </c>
      <c r="J52" s="321"/>
      <c r="K52" s="448"/>
      <c r="L52" s="448"/>
      <c r="M52" s="448"/>
      <c r="N52" s="448"/>
      <c r="O52" s="450"/>
      <c r="P52" s="446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3"/>
      <c r="B53" s="273"/>
      <c r="C53" s="449"/>
      <c r="D53" s="449"/>
      <c r="E53" s="449"/>
      <c r="F53" s="449"/>
      <c r="G53" s="449"/>
      <c r="H53" s="447"/>
      <c r="I53" s="313"/>
      <c r="J53" s="273"/>
      <c r="K53" s="449"/>
      <c r="L53" s="449"/>
      <c r="M53" s="449"/>
      <c r="N53" s="449"/>
      <c r="O53" s="451"/>
      <c r="P53" s="447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4" t="s">
        <v>149</v>
      </c>
      <c r="B55" s="274"/>
      <c r="C55" s="85">
        <f t="shared" ref="C55:H55" si="50">C21</f>
        <v>45292</v>
      </c>
      <c r="D55" s="86">
        <f t="shared" si="50"/>
        <v>45323</v>
      </c>
      <c r="E55" s="86">
        <f t="shared" si="50"/>
        <v>45352</v>
      </c>
      <c r="F55" s="86">
        <f t="shared" si="50"/>
        <v>45383</v>
      </c>
      <c r="G55" s="86">
        <f t="shared" si="50"/>
        <v>45413</v>
      </c>
      <c r="H55" s="87">
        <f t="shared" si="50"/>
        <v>45444</v>
      </c>
      <c r="I55" s="314" t="str">
        <f>A55</f>
        <v>Données pour AssistMe:</v>
      </c>
      <c r="J55" s="274"/>
      <c r="K55" s="86">
        <f t="shared" ref="K55:P55" si="51">K21</f>
        <v>45474</v>
      </c>
      <c r="L55" s="86">
        <f t="shared" si="51"/>
        <v>45505</v>
      </c>
      <c r="M55" s="86">
        <f t="shared" si="51"/>
        <v>45536</v>
      </c>
      <c r="N55" s="88">
        <f t="shared" si="51"/>
        <v>45566</v>
      </c>
      <c r="O55" s="86">
        <f t="shared" si="51"/>
        <v>45597</v>
      </c>
      <c r="P55" s="87">
        <f t="shared" si="51"/>
        <v>45627</v>
      </c>
      <c r="Q55" s="224" t="s">
        <v>126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5" t="s">
        <v>150</v>
      </c>
      <c r="B56" s="275" t="s">
        <v>151</v>
      </c>
      <c r="C56" s="402" t="str">
        <f t="shared" ref="C56:H56" si="52">IF($C$16="Salaire horaire",IF($M$8="","",(C25*$P$10)+(C24*$P$7)+C26+C28+(C32+C33)/(IF($M$13&gt;1,((($M$8+$M$13)/2)),$M$8))),"Salaire mensuel")</f>
        <v>Salaire mensuel</v>
      </c>
      <c r="D56" s="402" t="str">
        <f t="shared" si="52"/>
        <v>Salaire mensuel</v>
      </c>
      <c r="E56" s="402" t="str">
        <f t="shared" si="52"/>
        <v>Salaire mensuel</v>
      </c>
      <c r="F56" s="402" t="str">
        <f t="shared" si="52"/>
        <v>Salaire mensuel</v>
      </c>
      <c r="G56" s="402" t="str">
        <f t="shared" si="52"/>
        <v>Salaire mensuel</v>
      </c>
      <c r="H56" s="287" t="str">
        <f t="shared" si="52"/>
        <v>Salaire mensuel</v>
      </c>
      <c r="I56" s="316" t="str">
        <f>A56</f>
        <v>Nombre d'heures</v>
      </c>
      <c r="J56" s="275" t="s">
        <v>151</v>
      </c>
      <c r="K56" s="402" t="str">
        <f t="shared" ref="K56:P56" si="53">IF($C$16="Salaire horaire",IF($M$8="","",(K25*$P$10)+(K24*$P$7)+K26+K28+(K32+K33)/(IF($M$13&gt;1,((($M$8+$M$13)/2)),$M$8))),"Salaire mensuel")</f>
        <v>Salaire mensuel</v>
      </c>
      <c r="L56" s="402" t="str">
        <f t="shared" si="53"/>
        <v>Salaire mensuel</v>
      </c>
      <c r="M56" s="402" t="str">
        <f t="shared" si="53"/>
        <v>Salaire mensuel</v>
      </c>
      <c r="N56" s="402" t="str">
        <f t="shared" si="53"/>
        <v>Salaire mensuel</v>
      </c>
      <c r="O56" s="402" t="str">
        <f t="shared" si="53"/>
        <v>Salaire mensuel</v>
      </c>
      <c r="P56" s="287" t="str">
        <f t="shared" si="53"/>
        <v>Salaire mensuel</v>
      </c>
      <c r="Q56" s="229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16" t="s">
        <v>145</v>
      </c>
      <c r="B57" s="276" t="s">
        <v>128</v>
      </c>
      <c r="C57" s="288">
        <f>C49-C48-C47-C46-C36-C35-C34-C31</f>
        <v>0</v>
      </c>
      <c r="D57" s="288">
        <f t="shared" ref="D57:H57" si="54">D49-D48-D47-D46-D36-D35-D34-D31</f>
        <v>0</v>
      </c>
      <c r="E57" s="288">
        <f t="shared" si="54"/>
        <v>0</v>
      </c>
      <c r="F57" s="288">
        <f t="shared" si="54"/>
        <v>0</v>
      </c>
      <c r="G57" s="288">
        <f t="shared" si="54"/>
        <v>0</v>
      </c>
      <c r="H57" s="287">
        <f t="shared" si="54"/>
        <v>0</v>
      </c>
      <c r="I57" s="316" t="str">
        <f>A57</f>
        <v>Salaire net</v>
      </c>
      <c r="J57" s="276" t="s">
        <v>128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297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17" t="s">
        <v>152</v>
      </c>
      <c r="B58" s="277" t="s">
        <v>128</v>
      </c>
      <c r="C58" s="289">
        <f>IF(C32&gt;0.1,C32-(C32*(SUM($T$8:$T$14)+$Y$9+$T$16))-(C32/IF(C39=0,1,C39)*-C44),IF(C32&lt;-0.1,C32-(C32*(SUM($T$8:$T$14)+$Y$9+$T$16))-(C32/IF(C39=0,1,C39)*-C44),0))</f>
        <v>0</v>
      </c>
      <c r="D58" s="289">
        <f t="shared" ref="D58:H58" si="56">IF(D32&gt;0.1,D32-(D32*(SUM($T$8:$T$14)+$Y$9+$T$16))-(D32/IF(D39=0,1,D39)*-D44),IF(D32&lt;-0.1,D32-(D32*(SUM($T$8:$T$14)+$Y$9+$T$16))-(D32/IF(D39=0,1,D39)*-D44),0))</f>
        <v>0</v>
      </c>
      <c r="E58" s="289">
        <f t="shared" si="56"/>
        <v>0</v>
      </c>
      <c r="F58" s="289">
        <f t="shared" si="56"/>
        <v>0</v>
      </c>
      <c r="G58" s="289">
        <f t="shared" si="56"/>
        <v>0</v>
      </c>
      <c r="H58" s="290">
        <f t="shared" si="56"/>
        <v>0</v>
      </c>
      <c r="I58" s="317" t="str">
        <f>A58</f>
        <v>Dont oblig. de verser le salaire (art. 324a CO)</v>
      </c>
      <c r="J58" s="277" t="s">
        <v>128</v>
      </c>
      <c r="K58" s="289">
        <f t="shared" ref="K58:P58" si="57">IF(K32&gt;0.1,K32-(K32*(SUM($T$8:$T$14)+$Y$9+$T$16))-(K32/IF(K39=0,1,K39)*-K44),IF(K32&lt;-0.1,K32-(K32*(SUM($T$8:$T$14)+$Y$9+$T$16))-(K32/IF(K39=0,1,K39)*-K44),0))</f>
        <v>0</v>
      </c>
      <c r="L58" s="289">
        <f t="shared" si="57"/>
        <v>0</v>
      </c>
      <c r="M58" s="289">
        <f t="shared" si="57"/>
        <v>0</v>
      </c>
      <c r="N58" s="289">
        <f t="shared" si="57"/>
        <v>0</v>
      </c>
      <c r="O58" s="289">
        <f t="shared" si="57"/>
        <v>0</v>
      </c>
      <c r="P58" s="290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18" t="str">
        <f>IF(G12="oui","Contribution d'assistance de l'AI","")</f>
        <v/>
      </c>
      <c r="B60" s="278"/>
      <c r="C60" s="219" t="str">
        <f t="shared" ref="C60:H60" si="58">IF($G$12="oui",C21,"")</f>
        <v/>
      </c>
      <c r="D60" s="219" t="str">
        <f t="shared" si="58"/>
        <v/>
      </c>
      <c r="E60" s="219" t="str">
        <f t="shared" si="58"/>
        <v/>
      </c>
      <c r="F60" s="219" t="str">
        <f t="shared" si="58"/>
        <v/>
      </c>
      <c r="G60" s="219" t="str">
        <f t="shared" si="58"/>
        <v/>
      </c>
      <c r="H60" s="220" t="str">
        <f t="shared" si="58"/>
        <v/>
      </c>
      <c r="I60" s="318" t="str">
        <f t="shared" ref="I60:I64" si="59">A60</f>
        <v/>
      </c>
      <c r="J60" s="278"/>
      <c r="K60" s="219" t="str">
        <f t="shared" ref="K60:P60" si="60">IF($G$12="oui",K21,"")</f>
        <v/>
      </c>
      <c r="L60" s="219" t="str">
        <f t="shared" si="60"/>
        <v/>
      </c>
      <c r="M60" s="219" t="str">
        <f t="shared" si="60"/>
        <v/>
      </c>
      <c r="N60" s="221" t="str">
        <f t="shared" si="60"/>
        <v/>
      </c>
      <c r="O60" s="219" t="str">
        <f t="shared" si="60"/>
        <v/>
      </c>
      <c r="P60" s="220" t="str">
        <f t="shared" si="60"/>
        <v/>
      </c>
      <c r="Q60" s="225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19" t="str">
        <f>IF(G12="oui","A) Nb. d'heures standard","")</f>
        <v/>
      </c>
      <c r="B61" s="279" t="str">
        <f>IF(G12="oui","h"," ")</f>
        <v xml:space="preserve"> </v>
      </c>
      <c r="C61" s="291" t="str">
        <f>IF($G$12="oui",(IF(DATEDIF($F$7,C$21,"Y")&lt;18,0,C26+C28)),"")</f>
        <v/>
      </c>
      <c r="D61" s="291" t="str">
        <f t="shared" ref="D61:H61" si="61">IF($G$12="oui",(IF(DATEDIF($F$7,D$21,"Y")&lt;18,0,D26+D28)),"")</f>
        <v/>
      </c>
      <c r="E61" s="291" t="str">
        <f t="shared" si="61"/>
        <v/>
      </c>
      <c r="F61" s="223" t="str">
        <f t="shared" si="61"/>
        <v/>
      </c>
      <c r="G61" s="223" t="str">
        <f t="shared" si="61"/>
        <v/>
      </c>
      <c r="H61" s="222" t="str">
        <f t="shared" si="61"/>
        <v/>
      </c>
      <c r="I61" s="320" t="str">
        <f t="shared" si="59"/>
        <v/>
      </c>
      <c r="J61" s="279" t="str">
        <f>B61</f>
        <v xml:space="preserve"> </v>
      </c>
      <c r="K61" s="223" t="str">
        <f t="shared" ref="K61:P61" si="62">IF($G$12="oui",(IF(DATEDIF($F$7,K$21,"Y")&lt;18,0,K26+K28)),"")</f>
        <v/>
      </c>
      <c r="L61" s="223" t="str">
        <f t="shared" si="62"/>
        <v/>
      </c>
      <c r="M61" s="223" t="str">
        <f t="shared" si="62"/>
        <v/>
      </c>
      <c r="N61" s="295" t="str">
        <f t="shared" si="62"/>
        <v/>
      </c>
      <c r="O61" s="223" t="str">
        <f t="shared" si="62"/>
        <v/>
      </c>
      <c r="P61" s="222" t="str">
        <f t="shared" si="62"/>
        <v/>
      </c>
      <c r="Q61" s="22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0" t="str">
        <f>IF(G12="oui","B) Nb. d'heures quali B","")</f>
        <v/>
      </c>
      <c r="B62" s="280" t="str">
        <f>IF(G12="oui","h"," ")</f>
        <v xml:space="preserve"> </v>
      </c>
      <c r="C62" s="291"/>
      <c r="D62" s="291"/>
      <c r="E62" s="291"/>
      <c r="F62" s="291"/>
      <c r="G62" s="291"/>
      <c r="H62" s="292"/>
      <c r="I62" s="320" t="str">
        <f t="shared" si="59"/>
        <v/>
      </c>
      <c r="J62" s="280" t="str">
        <f>B62</f>
        <v xml:space="preserve"> </v>
      </c>
      <c r="K62" s="223"/>
      <c r="L62" s="223"/>
      <c r="M62" s="223"/>
      <c r="N62" s="295"/>
      <c r="O62" s="223"/>
      <c r="P62" s="222"/>
      <c r="Q62" s="222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x14ac:dyDescent="0.2">
      <c r="A63" s="392" t="str">
        <f>IF($G$12="oui","C) Nb. d'engagements 
de nuit","")</f>
        <v/>
      </c>
      <c r="B63" s="393" t="str">
        <f>IF(G12="oui","Nb."," ")</f>
        <v xml:space="preserve"> </v>
      </c>
      <c r="C63" s="394" t="str">
        <f>IF($G$12="oui",(IF(DATEDIF($F$7,C$21,"Y")&lt;18,0,C25)),"")</f>
        <v/>
      </c>
      <c r="D63" s="394" t="str">
        <f t="shared" ref="D63:H63" si="63">IF($G$12="oui",(IF(DATEDIF($F$7,D$21,"Y")&lt;18,0,D25)),"")</f>
        <v/>
      </c>
      <c r="E63" s="394" t="str">
        <f t="shared" si="63"/>
        <v/>
      </c>
      <c r="F63" s="394" t="str">
        <f t="shared" si="63"/>
        <v/>
      </c>
      <c r="G63" s="394" t="str">
        <f t="shared" si="63"/>
        <v/>
      </c>
      <c r="H63" s="395" t="str">
        <f t="shared" si="63"/>
        <v/>
      </c>
      <c r="I63" s="392" t="str">
        <f t="shared" si="59"/>
        <v/>
      </c>
      <c r="J63" s="393" t="str">
        <f>B63</f>
        <v xml:space="preserve"> </v>
      </c>
      <c r="K63" s="394" t="str">
        <f t="shared" ref="K63:P63" si="64">IF($G$12="oui",(IF(DATEDIF($F$7,K$21,"Y")&lt;18,0,K25)),"")</f>
        <v/>
      </c>
      <c r="L63" s="394" t="str">
        <f t="shared" si="64"/>
        <v/>
      </c>
      <c r="M63" s="394" t="str">
        <f t="shared" si="64"/>
        <v/>
      </c>
      <c r="N63" s="396" t="str">
        <f t="shared" si="64"/>
        <v/>
      </c>
      <c r="O63" s="394" t="str">
        <f t="shared" si="64"/>
        <v/>
      </c>
      <c r="P63" s="395" t="str">
        <f t="shared" si="64"/>
        <v/>
      </c>
      <c r="Q63" s="397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1" customFormat="1" ht="15" customHeight="1" thickBot="1" x14ac:dyDescent="0.25">
      <c r="A64" s="433" t="str">
        <f>IF(G12="oui","Oblig. de verser le salaire","")</f>
        <v/>
      </c>
      <c r="B64" s="434"/>
      <c r="C64" s="293" t="str">
        <f>IF($G$12="oui",(IF(OR(C32&gt;0.1,C33&gt;0.1),"décompter","")),"")</f>
        <v/>
      </c>
      <c r="D64" s="293" t="str">
        <f t="shared" ref="D64:H64" si="65">IF($G$12="oui",(IF(OR(D32&gt;0.1,D33&gt;0.1),"décompter","")),"")</f>
        <v/>
      </c>
      <c r="E64" s="293" t="str">
        <f t="shared" si="65"/>
        <v/>
      </c>
      <c r="F64" s="293" t="str">
        <f t="shared" si="65"/>
        <v/>
      </c>
      <c r="G64" s="293" t="str">
        <f t="shared" si="65"/>
        <v/>
      </c>
      <c r="H64" s="294" t="str">
        <f t="shared" si="65"/>
        <v/>
      </c>
      <c r="I64" s="435" t="str">
        <f t="shared" si="59"/>
        <v/>
      </c>
      <c r="J64" s="434"/>
      <c r="K64" s="293" t="str">
        <f t="shared" ref="K64:P64" si="66">IF($G$12="oui",(IF(OR(K32&gt;0.1,K33&gt;0.1),"décompter","")),"")</f>
        <v/>
      </c>
      <c r="L64" s="293" t="str">
        <f t="shared" si="66"/>
        <v/>
      </c>
      <c r="M64" s="293" t="str">
        <f t="shared" si="66"/>
        <v/>
      </c>
      <c r="N64" s="296" t="str">
        <f t="shared" si="66"/>
        <v/>
      </c>
      <c r="O64" s="293" t="str">
        <f t="shared" si="66"/>
        <v/>
      </c>
      <c r="P64" s="294" t="str">
        <f t="shared" si="66"/>
        <v/>
      </c>
      <c r="Q64" s="227" t="str">
        <f>IF($G$12="oui",SUM(C64:H64)+SUM(K64:P64),"")</f>
        <v/>
      </c>
      <c r="R64" s="398"/>
      <c r="S64" s="398"/>
      <c r="T64" s="398"/>
      <c r="U64" s="398"/>
      <c r="V64" s="398"/>
      <c r="W64" s="399"/>
      <c r="X64" s="400"/>
      <c r="Y64" s="400"/>
      <c r="Z64" s="400"/>
      <c r="AA64" s="400"/>
      <c r="AB64" s="400"/>
      <c r="AC64" s="400"/>
      <c r="AD64" s="400"/>
      <c r="AE64" s="400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6"/>
      <c r="Y65" s="226"/>
      <c r="Z65" s="226"/>
      <c r="AA65" s="226"/>
      <c r="AB65" s="226"/>
      <c r="AC65" s="226"/>
      <c r="AD65" s="226"/>
      <c r="AE65" s="226"/>
    </row>
    <row r="66" spans="1:31" ht="15" customHeight="1" x14ac:dyDescent="0.2">
      <c r="S66" s="62"/>
      <c r="T66" s="62"/>
      <c r="U66" s="62"/>
    </row>
  </sheetData>
  <sheetProtection algorithmName="SHA-512" hashValue="Twix3V5py+zeAEtZgoq9rt0sKXBtlN2Zp0aGjB29fRoWYuEx+bwl+puB4QI3HnMEDikv8iESvLuDq2BAtz241A==" saltValue="yxSBhGNYPcNJJFHOzwCn9A==" spinCount="100000" sheet="1" objects="1" scenarios="1"/>
  <mergeCells count="48">
    <mergeCell ref="H52:H53"/>
    <mergeCell ref="C52:C53"/>
    <mergeCell ref="D52:D53"/>
    <mergeCell ref="E52:E53"/>
    <mergeCell ref="F52:F53"/>
    <mergeCell ref="G52:G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O52:O53"/>
    <mergeCell ref="P52:P53"/>
    <mergeCell ref="S24:U26"/>
    <mergeCell ref="S28:U30"/>
    <mergeCell ref="S31:U32"/>
    <mergeCell ref="S33:U35"/>
    <mergeCell ref="S36:U40"/>
    <mergeCell ref="S41:U43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238" priority="28" operator="beginsWith" text="Nom">
      <formula>LEFT(A25,LEN("Nom"))="Nom"</formula>
    </cfRule>
  </conditionalFormatting>
  <conditionalFormatting sqref="A26">
    <cfRule type="containsText" dxfId="237" priority="39" operator="containsText" text="Nombre d'heures">
      <formula>NOT(ISERROR(SEARCH("Nombre d'heures",A26)))</formula>
    </cfRule>
  </conditionalFormatting>
  <conditionalFormatting sqref="A28">
    <cfRule type="containsText" dxfId="236" priority="42" operator="containsText" text="Nombre d'heures II">
      <formula>NOT(ISERROR(SEARCH("Nombre d'heures II",A28)))</formula>
    </cfRule>
  </conditionalFormatting>
  <conditionalFormatting sqref="A24:B24">
    <cfRule type="expression" dxfId="235" priority="40">
      <formula>$G$11="oui"</formula>
    </cfRule>
  </conditionalFormatting>
  <conditionalFormatting sqref="A25:B25">
    <cfRule type="expression" dxfId="234" priority="31">
      <formula>$P$10&gt;0.1</formula>
    </cfRule>
  </conditionalFormatting>
  <conditionalFormatting sqref="A50:B50">
    <cfRule type="expression" dxfId="233" priority="218">
      <formula>$G$11="ja"</formula>
    </cfRule>
  </conditionalFormatting>
  <conditionalFormatting sqref="B25">
    <cfRule type="beginsWith" dxfId="232" priority="27" operator="beginsWith" text="Nb">
      <formula>LEFT(B25,LEN("Nb"))="Nb"</formula>
    </cfRule>
  </conditionalFormatting>
  <conditionalFormatting sqref="B26">
    <cfRule type="containsText" dxfId="231" priority="30" operator="containsText" text="h">
      <formula>NOT(ISERROR(SEARCH("h",B26)))</formula>
    </cfRule>
  </conditionalFormatting>
  <conditionalFormatting sqref="B28">
    <cfRule type="containsText" dxfId="230" priority="29" operator="containsText" text="h">
      <formula>NOT(ISERROR(SEARCH("h",B28)))</formula>
    </cfRule>
  </conditionalFormatting>
  <conditionalFormatting sqref="C17">
    <cfRule type="expression" dxfId="229" priority="54">
      <formula>$A$17="13ème salaire"</formula>
    </cfRule>
  </conditionalFormatting>
  <conditionalFormatting sqref="C22:H22">
    <cfRule type="cellIs" dxfId="228" priority="50" operator="greaterThan">
      <formula>1</formula>
    </cfRule>
  </conditionalFormatting>
  <conditionalFormatting sqref="C23:H23 K23:P23">
    <cfRule type="expression" dxfId="227" priority="17">
      <formula>$B$23="CHF"</formula>
    </cfRule>
  </conditionalFormatting>
  <conditionalFormatting sqref="C24:H24 K24:P24">
    <cfRule type="expression" dxfId="226" priority="36">
      <formula>$G$11="oui"</formula>
    </cfRule>
  </conditionalFormatting>
  <conditionalFormatting sqref="C25:H25 K25:P25">
    <cfRule type="expression" dxfId="225" priority="3">
      <formula>$B$25="Nb."</formula>
    </cfRule>
  </conditionalFormatting>
  <conditionalFormatting sqref="C26:H26">
    <cfRule type="expression" dxfId="224" priority="10">
      <formula>$G$12="oui"</formula>
    </cfRule>
    <cfRule type="expression" dxfId="223" priority="11">
      <formula>$C$16="Salaire horaire"</formula>
    </cfRule>
  </conditionalFormatting>
  <conditionalFormatting sqref="C28:H28 K28:P28">
    <cfRule type="expression" dxfId="222" priority="37">
      <formula>$G$10="oui"</formula>
    </cfRule>
  </conditionalFormatting>
  <conditionalFormatting sqref="C50:H50">
    <cfRule type="expression" dxfId="221" priority="192">
      <formula>C51&gt;0.01</formula>
    </cfRule>
    <cfRule type="expression" dxfId="220" priority="193">
      <formula>C51&lt;-0.01</formula>
    </cfRule>
  </conditionalFormatting>
  <conditionalFormatting sqref="C51:H51">
    <cfRule type="cellIs" dxfId="219" priority="206" operator="lessThan">
      <formula>-0.04</formula>
    </cfRule>
    <cfRule type="cellIs" dxfId="218" priority="207" operator="greaterThan">
      <formula>0.04</formula>
    </cfRule>
  </conditionalFormatting>
  <conditionalFormatting sqref="G1">
    <cfRule type="containsText" dxfId="217" priority="25" operator="containsText" text="Attention faute">
      <formula>NOT(ISERROR(SEARCH("Attention faute",G1)))</formula>
    </cfRule>
  </conditionalFormatting>
  <conditionalFormatting sqref="G10">
    <cfRule type="expression" dxfId="216" priority="18">
      <formula>$C$16="Salaire horaire"</formula>
    </cfRule>
  </conditionalFormatting>
  <conditionalFormatting sqref="H17:H18 S24">
    <cfRule type="beginsWith" dxfId="215" priority="46" operator="beginsWith" text="ATT">
      <formula>LEFT(H17,LEN("ATT"))="ATT"</formula>
    </cfRule>
  </conditionalFormatting>
  <conditionalFormatting sqref="I25">
    <cfRule type="beginsWith" dxfId="214" priority="5" operator="beginsWith" text="Nom">
      <formula>LEFT(I25,LEN("Nom"))="Nom"</formula>
    </cfRule>
  </conditionalFormatting>
  <conditionalFormatting sqref="I26">
    <cfRule type="containsText" dxfId="213" priority="22" operator="containsText" text="Nombre d'heures">
      <formula>NOT(ISERROR(SEARCH("Nombre d'heures",I26)))</formula>
    </cfRule>
  </conditionalFormatting>
  <conditionalFormatting sqref="I28">
    <cfRule type="containsText" dxfId="212" priority="24" operator="containsText" text="Nombre d'heures II">
      <formula>NOT(ISERROR(SEARCH("Nombre d'heures II",I28)))</formula>
    </cfRule>
  </conditionalFormatting>
  <conditionalFormatting sqref="I24:J24">
    <cfRule type="expression" dxfId="211" priority="23">
      <formula>$G$11="oui"</formula>
    </cfRule>
  </conditionalFormatting>
  <conditionalFormatting sqref="I25:J25">
    <cfRule type="expression" dxfId="210" priority="6">
      <formula>$P$10&gt;0.1</formula>
    </cfRule>
  </conditionalFormatting>
  <conditionalFormatting sqref="I50:J50">
    <cfRule type="expression" dxfId="209" priority="170">
      <formula>$G$11="ja"</formula>
    </cfRule>
  </conditionalFormatting>
  <conditionalFormatting sqref="J25">
    <cfRule type="beginsWith" dxfId="208" priority="4" operator="beginsWith" text="Nb">
      <formula>LEFT(J25,LEN("Nb"))="Nb"</formula>
    </cfRule>
  </conditionalFormatting>
  <conditionalFormatting sqref="J26">
    <cfRule type="containsText" dxfId="207" priority="21" operator="containsText" text="h">
      <formula>NOT(ISERROR(SEARCH("h",J26)))</formula>
    </cfRule>
  </conditionalFormatting>
  <conditionalFormatting sqref="J28">
    <cfRule type="containsText" dxfId="206" priority="20" operator="containsText" text="h">
      <formula>NOT(ISERROR(SEARCH("h",J28)))</formula>
    </cfRule>
  </conditionalFormatting>
  <conditionalFormatting sqref="K22:P22">
    <cfRule type="cellIs" dxfId="205" priority="51" operator="greaterThan">
      <formula>1</formula>
    </cfRule>
  </conditionalFormatting>
  <conditionalFormatting sqref="K26:P26">
    <cfRule type="expression" dxfId="204" priority="34">
      <formula>$G$12="oui"</formula>
    </cfRule>
    <cfRule type="expression" dxfId="203" priority="35">
      <formula>$C$16="Salaire horaire"</formula>
    </cfRule>
  </conditionalFormatting>
  <conditionalFormatting sqref="K50:P50">
    <cfRule type="expression" dxfId="202" priority="180">
      <formula>K51&gt;0.01</formula>
    </cfRule>
    <cfRule type="expression" dxfId="201" priority="181">
      <formula>K51&lt;-0.01</formula>
    </cfRule>
  </conditionalFormatting>
  <conditionalFormatting sqref="K51:P51">
    <cfRule type="cellIs" dxfId="200" priority="202" operator="lessThan">
      <formula>-0.04</formula>
    </cfRule>
    <cfRule type="cellIs" dxfId="199" priority="203" operator="greaterThan">
      <formula>0.04</formula>
    </cfRule>
  </conditionalFormatting>
  <conditionalFormatting sqref="L7">
    <cfRule type="expression" dxfId="198" priority="33">
      <formula>$C$16="à choisir"</formula>
    </cfRule>
  </conditionalFormatting>
  <conditionalFormatting sqref="L12">
    <cfRule type="expression" dxfId="197" priority="43">
      <formula>$G$10="oui"</formula>
    </cfRule>
  </conditionalFormatting>
  <conditionalFormatting sqref="M8">
    <cfRule type="expression" dxfId="196" priority="32">
      <formula>$C$16="Salaire horaire"</formula>
    </cfRule>
    <cfRule type="expression" dxfId="195" priority="26">
      <formula>$C$16="salaire mensuel"</formula>
    </cfRule>
  </conditionalFormatting>
  <conditionalFormatting sqref="M13">
    <cfRule type="expression" dxfId="194" priority="38">
      <formula>$G$10="oui"</formula>
    </cfRule>
  </conditionalFormatting>
  <conditionalFormatting sqref="P1">
    <cfRule type="containsText" dxfId="193" priority="19" operator="containsText" text="Attention faute">
      <formula>NOT(ISERROR(SEARCH("Attention faute",P1)))</formula>
    </cfRule>
  </conditionalFormatting>
  <conditionalFormatting sqref="P7">
    <cfRule type="expression" dxfId="192" priority="41">
      <formula>$Q$7="du Sal.horaire"</formula>
    </cfRule>
  </conditionalFormatting>
  <conditionalFormatting sqref="P10">
    <cfRule type="expression" dxfId="191" priority="44">
      <formula>$Q$10="heures"</formula>
    </cfRule>
  </conditionalFormatting>
  <conditionalFormatting sqref="S20">
    <cfRule type="beginsWith" dxfId="190" priority="8" operator="beginsWith" text="Rema">
      <formula>LEFT(S20,LEN("Rema"))="Rema"</formula>
    </cfRule>
    <cfRule type="beginsWith" dxfId="189" priority="7" operator="beginsWith" text="Ni">
      <formula>LEFT(S20,LEN("Ni"))="Ni"</formula>
    </cfRule>
    <cfRule type="beginsWith" dxfId="188" priority="9" operator="beginsWith" text="La">
      <formula>LEFT(S20,LEN("La"))="La"</formula>
    </cfRule>
  </conditionalFormatting>
  <conditionalFormatting sqref="S28">
    <cfRule type="beginsWith" dxfId="187" priority="45" operator="beginsWith" text="ATT">
      <formula>LEFT(S28,LEN("ATT"))="ATT"</formula>
    </cfRule>
  </conditionalFormatting>
  <conditionalFormatting sqref="S36:S37">
    <cfRule type="beginsWith" dxfId="186" priority="102" operator="beginsWith" text="Att">
      <formula>LEFT(S36,LEN("Att"))="Att"</formula>
    </cfRule>
  </conditionalFormatting>
  <conditionalFormatting sqref="A64:Q64">
    <cfRule type="expression" dxfId="185" priority="1">
      <formula>$G$12="non"</formula>
    </cfRule>
  </conditionalFormatting>
  <conditionalFormatting sqref="A60:Q63">
    <cfRule type="expression" dxfId="184" priority="2">
      <formula>$G$12="non"</formula>
    </cfRule>
  </conditionalFormatting>
  <dataValidations count="7">
    <dataValidation type="list" allowBlank="1" showInputMessage="1" showErrorMessage="1" sqref="G10" xr:uid="{00000000-0002-0000-0600-000001000000}">
      <formula1>$AC$13:$AC$14</formula1>
    </dataValidation>
    <dataValidation type="list" allowBlank="1" showInputMessage="1" showErrorMessage="1" sqref="C17" xr:uid="{00000000-0002-0000-0600-000002000000}">
      <formula1>$Y$11:$Y$12</formula1>
    </dataValidation>
    <dataValidation type="list" allowBlank="1" showInputMessage="1" showErrorMessage="1" sqref="C10" xr:uid="{44A03C67-960A-4475-B098-C3CEB971C539}">
      <formula1>$X$6:$X$8</formula1>
    </dataValidation>
    <dataValidation type="list" allowBlank="1" showInputMessage="1" showErrorMessage="1" sqref="F9:G9" xr:uid="{00000000-0002-0000-0600-000000000000}">
      <formula1>$AB$6:$AB$19</formula1>
    </dataValidation>
    <dataValidation type="list" allowBlank="1" showInputMessage="1" showErrorMessage="1" sqref="C16" xr:uid="{828C846E-7372-468E-BF28-F6D298F000E3}">
      <formula1>$X$11:$X$13</formula1>
    </dataValidation>
    <dataValidation type="list" allowBlank="1" showInputMessage="1" showErrorMessage="1" sqref="G13" xr:uid="{70AC75B1-007C-47F1-9828-35BCFF88F379}">
      <formula1>$Y$6:$Y$8</formula1>
    </dataValidation>
    <dataValidation type="list" allowBlank="1" showInputMessage="1" showErrorMessage="1" sqref="G11:G12" xr:uid="{D0A8A16F-95BC-486D-9010-1BDC114E6C37}">
      <formula1>$AH$6:$AH$8</formula1>
    </dataValidation>
  </dataValidations>
  <hyperlinks>
    <hyperlink ref="G1:H3" location="Fehler1" display="Fehler1" xr:uid="{BFE365D4-0260-41C2-BD7E-A97F0A1CEFD0}"/>
    <hyperlink ref="P1:Q3" location="Fehler1" display="Fehler1" xr:uid="{3ABA6AF3-CD4F-4985-9F56-ECAF8994AF6F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7.0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BD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19.7109375" style="1" customWidth="1"/>
    <col min="10" max="10" width="4.5703125" style="1" bestFit="1" customWidth="1"/>
    <col min="11" max="16" width="12.28515625" style="1" customWidth="1"/>
    <col min="17" max="17" width="13.28515625" style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hidden="1" customWidth="1"/>
    <col min="38" max="16384" width="11.42578125" style="1"/>
  </cols>
  <sheetData>
    <row r="1" spans="1:35" ht="12.75" customHeight="1" x14ac:dyDescent="0.2">
      <c r="A1" s="443" t="str">
        <f>'PA 1'!A1:C1</f>
        <v>Nom/Prénom employeur</v>
      </c>
      <c r="B1" s="443"/>
      <c r="C1" s="443"/>
      <c r="D1" s="453">
        <v>45657</v>
      </c>
      <c r="E1" s="453"/>
      <c r="F1" s="453"/>
      <c r="G1" s="444" t="str">
        <f>IF($W45&gt;4,"Attention erreur!",IF($W$45&gt;0,"Attention remarque!",""))</f>
        <v/>
      </c>
      <c r="H1" s="444"/>
      <c r="I1" s="460" t="str">
        <f>A1</f>
        <v>Nom/Prénom employeur</v>
      </c>
      <c r="J1" s="460"/>
      <c r="K1" s="460"/>
      <c r="L1" s="453">
        <f>D1</f>
        <v>45657</v>
      </c>
      <c r="M1" s="453"/>
      <c r="N1" s="453"/>
      <c r="O1" s="453"/>
      <c r="P1" s="444" t="str">
        <f>IF($W45&gt;4,"Attention erreur!",IF($W$45&gt;0,"Attention remarque!",""))</f>
        <v/>
      </c>
      <c r="Q1" s="444"/>
      <c r="S1" s="246" t="s">
        <v>47</v>
      </c>
      <c r="T1" s="260"/>
      <c r="U1" s="361" t="s">
        <v>48</v>
      </c>
      <c r="V1" s="362" t="s">
        <v>49</v>
      </c>
      <c r="W1" s="68"/>
      <c r="AE1" s="1"/>
    </row>
    <row r="2" spans="1:35" ht="12.75" customHeight="1" x14ac:dyDescent="0.2">
      <c r="A2" s="443" t="str">
        <f>'PA 1'!A2:C2</f>
        <v>Lieu employeur</v>
      </c>
      <c r="B2" s="443"/>
      <c r="C2" s="443"/>
      <c r="D2" s="453"/>
      <c r="E2" s="453"/>
      <c r="F2" s="453"/>
      <c r="G2" s="444"/>
      <c r="H2" s="444"/>
      <c r="I2" s="460" t="str">
        <f>A2</f>
        <v>Lieu employeur</v>
      </c>
      <c r="J2" s="460"/>
      <c r="K2" s="460"/>
      <c r="L2" s="453"/>
      <c r="M2" s="453"/>
      <c r="N2" s="453"/>
      <c r="O2" s="453"/>
      <c r="P2" s="444"/>
      <c r="Q2" s="444"/>
      <c r="S2" s="249" t="s">
        <v>51</v>
      </c>
      <c r="T2" s="2"/>
      <c r="U2" s="218">
        <f>IF(C16="Salaire horaire",(M8*M7*52)+(M13*M12*52),(M8+Y13)*12)</f>
        <v>0</v>
      </c>
      <c r="V2" s="261"/>
      <c r="W2" s="68"/>
      <c r="Y2" s="466" t="s">
        <v>52</v>
      </c>
      <c r="AA2" s="466" t="s">
        <v>53</v>
      </c>
      <c r="AE2" s="1"/>
    </row>
    <row r="3" spans="1:35" ht="5.0999999999999996" customHeight="1" x14ac:dyDescent="0.2">
      <c r="G3" s="444"/>
      <c r="H3" s="444"/>
      <c r="P3" s="444"/>
      <c r="Q3" s="444"/>
      <c r="S3" s="254"/>
      <c r="V3" s="250"/>
      <c r="W3" s="68"/>
      <c r="Y3" s="466"/>
      <c r="AA3" s="466"/>
      <c r="AE3" s="1"/>
    </row>
    <row r="4" spans="1:35" ht="15.75" customHeight="1" thickBot="1" x14ac:dyDescent="0.3">
      <c r="A4" s="41" t="s">
        <v>54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0" t="s">
        <v>55</v>
      </c>
      <c r="J4" s="360"/>
      <c r="K4" s="360"/>
      <c r="L4" s="360"/>
      <c r="M4" s="42"/>
      <c r="N4" s="42"/>
      <c r="O4" s="42"/>
      <c r="P4" s="42"/>
      <c r="Q4" s="51" t="str">
        <f>CONCATENATE($C$6," ",$C$7)</f>
        <v xml:space="preserve"> </v>
      </c>
      <c r="S4" s="454" t="s">
        <v>56</v>
      </c>
      <c r="T4" s="455"/>
      <c r="U4" s="262">
        <f>((U2-(U2*SUM(T8:T14,T16,Y9)+(12*T15)))*Z14)</f>
        <v>0</v>
      </c>
      <c r="V4" s="263">
        <f>U4/365</f>
        <v>0</v>
      </c>
      <c r="W4" s="68"/>
      <c r="X4" s="464" t="s">
        <v>57</v>
      </c>
      <c r="Y4" s="466"/>
      <c r="Z4" s="464" t="s">
        <v>58</v>
      </c>
      <c r="AA4" s="466"/>
      <c r="AB4" s="467" t="s">
        <v>59</v>
      </c>
      <c r="AC4" s="468" t="s">
        <v>60</v>
      </c>
      <c r="AD4" s="465" t="s">
        <v>61</v>
      </c>
      <c r="AE4" s="1"/>
      <c r="AH4" s="464" t="s">
        <v>62</v>
      </c>
      <c r="AI4" s="464"/>
    </row>
    <row r="5" spans="1:35" ht="5.0999999999999996" customHeight="1" x14ac:dyDescent="0.2">
      <c r="X5" s="464"/>
      <c r="Y5" s="466"/>
      <c r="Z5" s="464"/>
      <c r="AA5" s="466"/>
      <c r="AB5" s="467"/>
      <c r="AC5" s="468"/>
      <c r="AD5" s="465"/>
      <c r="AE5" s="2"/>
      <c r="AF5" s="4"/>
      <c r="AG5" s="48"/>
      <c r="AH5" s="464"/>
      <c r="AI5" s="464"/>
    </row>
    <row r="6" spans="1:35" s="2" customFormat="1" ht="13.5" thickBot="1" x14ac:dyDescent="0.25">
      <c r="A6" s="2" t="s">
        <v>63</v>
      </c>
      <c r="C6" s="452"/>
      <c r="D6" s="452"/>
      <c r="E6" s="2" t="s">
        <v>64</v>
      </c>
      <c r="F6" s="445"/>
      <c r="G6" s="445"/>
      <c r="I6" s="6" t="s">
        <v>65</v>
      </c>
      <c r="N6" s="6" t="str">
        <f>IF(AND(C16="Salaire horaire",G11="oui"),"Calcul de l'indemnité les heures de garde","")</f>
        <v/>
      </c>
      <c r="W6" s="180"/>
      <c r="X6" s="2" t="s">
        <v>66</v>
      </c>
      <c r="Y6" s="2" t="s">
        <v>66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28" t="s">
        <v>66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67</v>
      </c>
      <c r="AG6" s="49"/>
      <c r="AH6" s="2" t="s">
        <v>66</v>
      </c>
    </row>
    <row r="7" spans="1:35" s="2" customFormat="1" x14ac:dyDescent="0.2">
      <c r="A7" s="2" t="s">
        <v>68</v>
      </c>
      <c r="C7" s="452"/>
      <c r="D7" s="452"/>
      <c r="E7" s="2" t="s">
        <v>69</v>
      </c>
      <c r="F7" s="445"/>
      <c r="G7" s="445"/>
      <c r="I7" s="2" t="str">
        <f>IF(C16="Salaire horaire",IF(G10="oui","Taux d'occupation I","Taux d'occupation"),IF(C16="Salaire mensuel","Taux d'occupation",""))</f>
        <v/>
      </c>
      <c r="L7" s="406"/>
      <c r="M7" s="371">
        <f>42*L7</f>
        <v>0</v>
      </c>
      <c r="N7" s="2" t="str">
        <f>IF(AND(C16="Salaire horaire",G11="oui"),"1 heure de garde =","")</f>
        <v/>
      </c>
      <c r="P7" s="304"/>
      <c r="Q7" s="2" t="str">
        <f>IF(AND(C16="Salaire horaire",G11="oui"),"du Sal.horaire","")</f>
        <v/>
      </c>
      <c r="S7" s="246" t="s">
        <v>70</v>
      </c>
      <c r="T7" s="247" t="s">
        <v>71</v>
      </c>
      <c r="U7" s="248"/>
      <c r="W7" s="1"/>
      <c r="X7" s="2" t="s">
        <v>72</v>
      </c>
      <c r="Y7" s="2" t="s">
        <v>73</v>
      </c>
      <c r="Z7" s="59" t="str">
        <f>IF(OR(G13="ordinaire",G13="à choisir"),"ordinaire","")</f>
        <v>ordinaire</v>
      </c>
      <c r="AA7" s="59"/>
      <c r="AB7" s="59" t="s">
        <v>74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75</v>
      </c>
      <c r="AG7" s="49">
        <f>IF(C16="Salaire horaire",(M7*52/12)*12*M8,(M8)*12)</f>
        <v>0</v>
      </c>
      <c r="AH7" s="2" t="s">
        <v>76</v>
      </c>
    </row>
    <row r="8" spans="1:35" s="2" customFormat="1" ht="12" customHeight="1" x14ac:dyDescent="0.2">
      <c r="A8" s="2" t="s">
        <v>77</v>
      </c>
      <c r="C8" s="452"/>
      <c r="D8" s="452"/>
      <c r="E8" s="2" t="s">
        <v>78</v>
      </c>
      <c r="F8" s="452"/>
      <c r="G8" s="452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5"/>
      <c r="S8" s="249" t="s">
        <v>79</v>
      </c>
      <c r="T8" s="251">
        <f>IF(F7="",0,IF(DATEDIF($F$7,D1,"Y")&lt;18,0,5.3%))</f>
        <v>0</v>
      </c>
      <c r="U8" s="250"/>
      <c r="W8" s="152"/>
      <c r="X8" s="2" t="s">
        <v>80</v>
      </c>
      <c r="Y8" s="59" t="s">
        <v>81</v>
      </c>
      <c r="Z8" s="59"/>
      <c r="AB8" s="59" t="s">
        <v>82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83</v>
      </c>
    </row>
    <row r="9" spans="1:35" s="2" customFormat="1" x14ac:dyDescent="0.2">
      <c r="A9" s="2" t="s">
        <v>84</v>
      </c>
      <c r="C9" s="452"/>
      <c r="D9" s="452"/>
      <c r="E9" s="2" t="s">
        <v>85</v>
      </c>
      <c r="F9" s="456" t="s">
        <v>66</v>
      </c>
      <c r="G9" s="456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3" t="str">
        <f>IF($C$16="Salaire horaire",M8/(1+L9)*L9,"")</f>
        <v/>
      </c>
      <c r="N9" s="6" t="str">
        <f>IF(C16="Salaire horaire","Conversion des engagements de nuit en heures","")</f>
        <v/>
      </c>
      <c r="S9" s="249" t="s">
        <v>86</v>
      </c>
      <c r="T9" s="251">
        <f>IF(DATEDIF($F$7,D1,"Y")&lt;18,0,IF(DATEDIF($F$7,C21,"Y")&gt;(IF($C$10="féminin",63,64)),0,1.1%))</f>
        <v>0</v>
      </c>
      <c r="U9" s="252"/>
      <c r="W9" s="181"/>
      <c r="Y9" s="75">
        <f>IF(G13="à choisir",0,IF(AND(Z6="simplifiée",'PA 1'!Z6="simplifiée",'PA 2'!Z6="simplifiée",'PA 3'!Z6="simplifiée",'PA 5'!Z6="simplifiée",'PA 6'!Z6="simplifiée",'PA 4'!Z6="simplifiée",'PA 8'!Z6="simplifiée",'PA 9'!Z6="simplifiée"),IF(DATEDIF($F$7,D21,"Y")&lt;17,0%,5%),0%))</f>
        <v>0</v>
      </c>
      <c r="Z9" s="59"/>
      <c r="AB9" s="59" t="s">
        <v>87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88</v>
      </c>
      <c r="C10" s="405" t="s">
        <v>66</v>
      </c>
      <c r="E10" s="2" t="str">
        <f>IF(C16="Salaire horaire","Avez-vous 2 différents sal. horaire?","")</f>
        <v/>
      </c>
      <c r="G10" s="427"/>
      <c r="H10" s="168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4" t="str">
        <f>IF($C$16="Salaire horaire",M8-M9,"")</f>
        <v/>
      </c>
      <c r="N10" s="2" t="str">
        <f>IF(C16="Salaire horaire","1 nuit correspond à","")</f>
        <v/>
      </c>
      <c r="P10" s="264"/>
      <c r="Q10" s="2" t="str">
        <f>IF(C16="Salaire horaire","heures","")</f>
        <v/>
      </c>
      <c r="S10" s="249"/>
      <c r="T10" s="251"/>
      <c r="U10" s="252"/>
      <c r="W10" s="1"/>
      <c r="X10" s="6" t="s">
        <v>89</v>
      </c>
      <c r="Y10" s="6" t="s">
        <v>90</v>
      </c>
      <c r="Z10" s="64" t="s">
        <v>91</v>
      </c>
      <c r="AB10" s="59" t="s">
        <v>92</v>
      </c>
      <c r="AD10" s="59" t="e">
        <f>ROUND(M8/L7,0)</f>
        <v>#DIV/0!</v>
      </c>
    </row>
    <row r="11" spans="1:35" s="2" customFormat="1" ht="13.5" customHeight="1" x14ac:dyDescent="0.2">
      <c r="A11" s="2" t="s">
        <v>93</v>
      </c>
      <c r="C11" s="405"/>
      <c r="E11" s="2" t="s">
        <v>94</v>
      </c>
      <c r="G11" s="405" t="s">
        <v>66</v>
      </c>
      <c r="S11" s="249" t="s">
        <v>95</v>
      </c>
      <c r="T11" s="407"/>
      <c r="U11" s="253" t="s">
        <v>96</v>
      </c>
      <c r="W11" s="1"/>
      <c r="X11" s="2" t="s">
        <v>66</v>
      </c>
      <c r="Y11" s="2" t="str">
        <f>IF(C16="Salaire mensuel","oui","")</f>
        <v/>
      </c>
      <c r="Z11" s="179">
        <f>IF(G13="simplifiée",126.8%,0)</f>
        <v>0</v>
      </c>
      <c r="AB11" s="59" t="s">
        <v>97</v>
      </c>
      <c r="AD11" s="59"/>
    </row>
    <row r="12" spans="1:35" s="2" customFormat="1" ht="13.5" customHeight="1" x14ac:dyDescent="0.2">
      <c r="A12" s="2" t="s">
        <v>98</v>
      </c>
      <c r="C12" s="405"/>
      <c r="E12" s="2" t="s">
        <v>99</v>
      </c>
      <c r="G12" s="405" t="s">
        <v>66</v>
      </c>
      <c r="I12" s="2" t="str">
        <f>IF(G10="oui","Taux d'occupation II","")</f>
        <v/>
      </c>
      <c r="L12" s="217"/>
      <c r="M12" s="242">
        <f>42*L12</f>
        <v>0</v>
      </c>
      <c r="S12" s="249"/>
      <c r="T12" s="1"/>
      <c r="U12" s="250"/>
      <c r="W12" s="1"/>
      <c r="X12" s="2" t="s">
        <v>100</v>
      </c>
      <c r="Y12" s="2" t="str">
        <f>IF(C16="Salaire mensuel","non","")</f>
        <v/>
      </c>
      <c r="Z12" s="179">
        <f>IF(AND(G13="ordinaire",T15=0,T16=0),119.9%,0)</f>
        <v>0</v>
      </c>
      <c r="AA12" s="59"/>
      <c r="AB12" s="59" t="s">
        <v>101</v>
      </c>
      <c r="AC12" s="64" t="s">
        <v>102</v>
      </c>
      <c r="AD12" s="59"/>
    </row>
    <row r="13" spans="1:35" s="2" customFormat="1" ht="12.75" customHeight="1" x14ac:dyDescent="0.2">
      <c r="A13" s="2" t="s">
        <v>103</v>
      </c>
      <c r="C13" s="405"/>
      <c r="E13" s="2" t="s">
        <v>104</v>
      </c>
      <c r="G13" s="405" t="s">
        <v>66</v>
      </c>
      <c r="I13" s="5" t="str">
        <f>IF(G10="oui","Salaire horaire II (avec Suppl. vacances)","")</f>
        <v/>
      </c>
      <c r="L13" s="4"/>
      <c r="M13" s="245"/>
      <c r="S13" s="249" t="s">
        <v>105</v>
      </c>
      <c r="T13" s="408"/>
      <c r="U13" s="253" t="s">
        <v>96</v>
      </c>
      <c r="W13" s="68"/>
      <c r="X13" s="2" t="s">
        <v>106</v>
      </c>
      <c r="Y13" s="2">
        <f>IF(C17="oui",M8/12,0)</f>
        <v>0</v>
      </c>
      <c r="Z13" s="179">
        <f>IF(OR(T15&gt;0,T16&gt;0),129.2%,0)</f>
        <v>0</v>
      </c>
      <c r="AA13" s="59"/>
      <c r="AB13" s="59" t="s">
        <v>107</v>
      </c>
      <c r="AC13" s="59" t="s">
        <v>76</v>
      </c>
      <c r="AD13" s="59"/>
    </row>
    <row r="14" spans="1:35" s="2" customFormat="1" ht="12.75" customHeight="1" x14ac:dyDescent="0.2">
      <c r="A14" s="2" t="s">
        <v>108</v>
      </c>
      <c r="C14" s="409"/>
      <c r="E14" s="2" t="s">
        <v>109</v>
      </c>
      <c r="F14" s="452"/>
      <c r="G14" s="452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3" t="str">
        <f>IF(G10="oui",M13/(1+L14)*L14,"")</f>
        <v/>
      </c>
      <c r="S14" s="254"/>
      <c r="T14" s="1"/>
      <c r="U14" s="250"/>
      <c r="W14" s="68"/>
      <c r="Y14" s="151">
        <f>M8</f>
        <v>0</v>
      </c>
      <c r="Z14" s="179">
        <f>SUM(Z11:Z13)</f>
        <v>0</v>
      </c>
      <c r="AA14" s="59"/>
      <c r="AB14" s="58" t="s">
        <v>110</v>
      </c>
      <c r="AC14" s="59" t="s">
        <v>83</v>
      </c>
      <c r="AD14" s="59"/>
    </row>
    <row r="15" spans="1:35" s="2" customFormat="1" ht="12.75" customHeight="1" x14ac:dyDescent="0.2">
      <c r="A15" s="2" t="s">
        <v>111</v>
      </c>
      <c r="C15" s="409"/>
      <c r="E15" s="2" t="s">
        <v>112</v>
      </c>
      <c r="F15" s="452"/>
      <c r="G15" s="452"/>
      <c r="I15" s="5" t="str">
        <f>IF(G10="oui","Salaire horaire II (sans Suppl. vacances)","")</f>
        <v/>
      </c>
      <c r="M15" s="244" t="str">
        <f>IF(G10="oui",M13-M14,"")</f>
        <v/>
      </c>
      <c r="S15" s="249" t="s">
        <v>113</v>
      </c>
      <c r="T15" s="410"/>
      <c r="U15" s="255" t="s">
        <v>114</v>
      </c>
      <c r="W15" s="1"/>
      <c r="Y15" s="2">
        <f>SUM(Y13:Y14)</f>
        <v>0</v>
      </c>
      <c r="Z15" s="59"/>
      <c r="AA15" s="59"/>
      <c r="AB15" s="59" t="s">
        <v>115</v>
      </c>
      <c r="AD15" s="59"/>
    </row>
    <row r="16" spans="1:35" s="2" customFormat="1" ht="12.75" customHeight="1" thickBot="1" x14ac:dyDescent="0.25">
      <c r="A16" s="2" t="s">
        <v>116</v>
      </c>
      <c r="C16" s="405" t="s">
        <v>66</v>
      </c>
      <c r="E16" s="2" t="s">
        <v>117</v>
      </c>
      <c r="F16" s="452"/>
      <c r="G16" s="452"/>
      <c r="S16" s="256" t="s">
        <v>118</v>
      </c>
      <c r="T16" s="411"/>
      <c r="U16" s="257" t="s">
        <v>119</v>
      </c>
      <c r="W16" s="1"/>
      <c r="Z16" s="59"/>
      <c r="AA16" s="59"/>
      <c r="AB16" s="58" t="s">
        <v>120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27"/>
      <c r="D17" s="168" t="str">
        <f>IF(C17&gt;1,"",IF(A17="13ème salaire","à choisir",""))</f>
        <v/>
      </c>
      <c r="H17" s="167"/>
      <c r="W17" s="1"/>
      <c r="X17" s="59"/>
      <c r="Y17" s="59"/>
      <c r="Z17" s="59"/>
      <c r="AA17" s="59"/>
      <c r="AB17" s="59" t="s">
        <v>121</v>
      </c>
      <c r="AC17" s="59"/>
      <c r="AD17" s="59"/>
    </row>
    <row r="18" spans="1:37" s="2" customFormat="1" x14ac:dyDescent="0.2">
      <c r="H18" s="167"/>
      <c r="M18" s="167"/>
      <c r="S18" s="469" t="s">
        <v>122</v>
      </c>
      <c r="T18" s="470"/>
      <c r="U18" s="471"/>
      <c r="V18" s="334"/>
      <c r="X18" s="153"/>
      <c r="Y18" s="154"/>
      <c r="Z18" s="59"/>
      <c r="AA18" s="59"/>
      <c r="AB18" s="2" t="s">
        <v>123</v>
      </c>
      <c r="AD18" s="59"/>
      <c r="AE18" s="59"/>
    </row>
    <row r="19" spans="1:37" s="2" customFormat="1" ht="15" x14ac:dyDescent="0.25">
      <c r="A19" s="41" t="s">
        <v>124</v>
      </c>
      <c r="B19" s="41"/>
      <c r="C19" s="52"/>
      <c r="D19" s="52"/>
      <c r="E19" s="52"/>
      <c r="F19" s="52"/>
      <c r="G19" s="52"/>
      <c r="H19" s="52"/>
      <c r="I19" s="41" t="s">
        <v>124</v>
      </c>
      <c r="J19" s="41"/>
      <c r="K19" s="52"/>
      <c r="L19" s="52"/>
      <c r="M19" s="52"/>
      <c r="N19" s="52"/>
      <c r="O19" s="52"/>
      <c r="P19" s="52"/>
      <c r="Q19" s="52"/>
      <c r="S19" s="258"/>
      <c r="U19" s="259"/>
      <c r="X19" s="153"/>
      <c r="Y19" s="154"/>
      <c r="Z19" s="59"/>
      <c r="AA19" s="59"/>
      <c r="AB19" s="59" t="s">
        <v>125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2"/>
      <c r="U20" s="463"/>
      <c r="V20" s="404"/>
      <c r="X20" s="153"/>
      <c r="Y20" s="154"/>
      <c r="Z20" s="59"/>
      <c r="AA20" s="59"/>
      <c r="AB20" s="59"/>
      <c r="AD20" s="59"/>
      <c r="AE20" s="59"/>
    </row>
    <row r="21" spans="1:37" s="2" customFormat="1" ht="12" x14ac:dyDescent="0.2">
      <c r="A21" s="306">
        <f>D1</f>
        <v>45657</v>
      </c>
      <c r="B21" s="265"/>
      <c r="C21" s="82">
        <v>45292</v>
      </c>
      <c r="D21" s="82">
        <v>45323</v>
      </c>
      <c r="E21" s="82">
        <v>45352</v>
      </c>
      <c r="F21" s="82">
        <v>45383</v>
      </c>
      <c r="G21" s="82">
        <v>45413</v>
      </c>
      <c r="H21" s="69">
        <v>45444</v>
      </c>
      <c r="I21" s="306">
        <f t="shared" ref="I21:I52" si="0">A21</f>
        <v>45657</v>
      </c>
      <c r="J21" s="265"/>
      <c r="K21" s="82">
        <v>45474</v>
      </c>
      <c r="L21" s="82">
        <v>45505</v>
      </c>
      <c r="M21" s="82">
        <v>45536</v>
      </c>
      <c r="N21" s="82">
        <v>45566</v>
      </c>
      <c r="O21" s="82">
        <v>45597</v>
      </c>
      <c r="P21" s="69">
        <v>45627</v>
      </c>
      <c r="Q21" s="97" t="s">
        <v>126</v>
      </c>
      <c r="S21" s="461"/>
      <c r="T21" s="462"/>
      <c r="U21" s="463"/>
      <c r="V21" s="404"/>
      <c r="W21" s="2">
        <f>IF(S20="Hinweis: Wenn der AHV Freibetrag nicht überschritten wird, muss ein Lohnausweis erstellt werden!",1,IF(S20=0,0,5))</f>
        <v>0</v>
      </c>
      <c r="X21" s="153"/>
      <c r="Y21" s="154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07" t="str">
        <f>IF($C$16="Salaire horaire","",IF(C16="à choisir","","Salaire mensuel"))</f>
        <v/>
      </c>
      <c r="B22" s="266" t="str">
        <f>IF(A22="Salaire mensuel","CHF"," ")</f>
        <v xml:space="preserve"> </v>
      </c>
      <c r="C22" s="281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1">
        <f t="shared" si="1"/>
        <v>0</v>
      </c>
      <c r="E22" s="281">
        <f t="shared" si="1"/>
        <v>0</v>
      </c>
      <c r="F22" s="281">
        <f t="shared" si="1"/>
        <v>0</v>
      </c>
      <c r="G22" s="281">
        <f t="shared" si="1"/>
        <v>0</v>
      </c>
      <c r="H22" s="282">
        <f t="shared" si="1"/>
        <v>0</v>
      </c>
      <c r="I22" s="308" t="str">
        <f t="shared" si="0"/>
        <v/>
      </c>
      <c r="J22" s="266" t="str">
        <f>IF(I22="Salaire mensuel","CHF"," ")</f>
        <v xml:space="preserve"> </v>
      </c>
      <c r="K22" s="281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2">
        <f t="shared" si="2"/>
        <v>0</v>
      </c>
      <c r="Q22" s="298">
        <f t="shared" ref="Q22:Q37" si="3">ROUND((SUM(C22:H22)+SUM(K22:P22))*20,0)/20</f>
        <v>0</v>
      </c>
      <c r="S22" s="461"/>
      <c r="T22" s="462"/>
      <c r="U22" s="463"/>
      <c r="V22" s="404"/>
      <c r="X22" s="153"/>
      <c r="Y22" s="154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07" t="str">
        <f>IF($C$16="Salaire horaire","",(IF($C$17="oui","13. Salaire mensuel","")))</f>
        <v/>
      </c>
      <c r="B23" s="266" t="str">
        <f>IF(A23="13. Salaire mensuel","CHF"," ")</f>
        <v xml:space="preserve"> </v>
      </c>
      <c r="C23" s="281">
        <f>IF(OR($C$16="Salaire horaire",$C$16="à choisir"),0,(IF($C$17="oui",(C$22+C32+C33)/12,"")))</f>
        <v>0</v>
      </c>
      <c r="D23" s="283">
        <f t="shared" ref="D23:H23" si="4">IF(OR($C$16="Salaire horaire",$C$16="à choisir"),0,(IF($C$17="oui",(D$22+D32+D33)/12,"")))</f>
        <v>0</v>
      </c>
      <c r="E23" s="283">
        <f t="shared" si="4"/>
        <v>0</v>
      </c>
      <c r="F23" s="283">
        <f t="shared" si="4"/>
        <v>0</v>
      </c>
      <c r="G23" s="283">
        <f t="shared" si="4"/>
        <v>0</v>
      </c>
      <c r="H23" s="282">
        <f t="shared" si="4"/>
        <v>0</v>
      </c>
      <c r="I23" s="308" t="str">
        <f t="shared" si="0"/>
        <v/>
      </c>
      <c r="J23" s="266" t="str">
        <f>IF(I23="13. Salaire mensuel","CHF"," ")</f>
        <v xml:space="preserve"> </v>
      </c>
      <c r="K23" s="283">
        <f t="shared" ref="K23:P23" si="5">IF(OR($C$16="Salaire horaire",$C$16="à choisir"),0,(IF($C$17="oui",(K$22+K32+K33)/12,"")))</f>
        <v>0</v>
      </c>
      <c r="L23" s="283">
        <f t="shared" si="5"/>
        <v>0</v>
      </c>
      <c r="M23" s="283">
        <f t="shared" si="5"/>
        <v>0</v>
      </c>
      <c r="N23" s="299">
        <f t="shared" si="5"/>
        <v>0</v>
      </c>
      <c r="O23" s="283">
        <f t="shared" si="5"/>
        <v>0</v>
      </c>
      <c r="P23" s="282">
        <f t="shared" si="5"/>
        <v>0</v>
      </c>
      <c r="Q23" s="236">
        <f t="shared" si="3"/>
        <v>0</v>
      </c>
      <c r="S23" s="258"/>
      <c r="U23" s="259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0" t="str">
        <f>IF(G11="oui","Nombre d'heures 
de garde","")</f>
        <v/>
      </c>
      <c r="B24" s="369" t="str">
        <f>IF(A24="Nombre d'heures 
de garde","h"," ")</f>
        <v xml:space="preserve"> </v>
      </c>
      <c r="C24" s="283"/>
      <c r="D24" s="283"/>
      <c r="E24" s="283"/>
      <c r="F24" s="283"/>
      <c r="G24" s="283"/>
      <c r="H24" s="282"/>
      <c r="I24" s="370" t="str">
        <f t="shared" si="0"/>
        <v/>
      </c>
      <c r="J24" s="369" t="str">
        <f>B24</f>
        <v xml:space="preserve"> </v>
      </c>
      <c r="K24" s="283"/>
      <c r="L24" s="283"/>
      <c r="M24" s="283"/>
      <c r="N24" s="283"/>
      <c r="O24" s="283"/>
      <c r="P24" s="282"/>
      <c r="Q24" s="300">
        <f t="shared" si="3"/>
        <v>0</v>
      </c>
      <c r="S24" s="461">
        <f>IF(OR(AND(Z6="simplifiée",'PA 1'!Z6="simplifiée",'PA 3'!Z6="simplifiée",'PA 4'!Z6="simplifiée",'PA 5'!Z6="simplifiée",'PA 6'!Z6="simplifiée",'PA 2'!Z6="simplifiée",'PA 8'!Z6="simplifiée",'PA 9'!Z6="simplifiée"),(AND(Z7="ordinaire",'PA 1'!Z7="ordinaire",'PA 3'!Z7="ordinaire",'PA 4'!Z7="ordinaire",'PA 5'!Z7="ordinaire",'PA 6'!Z7="ordinaire",'PA 2'!Z7="ordinaire",'PA 8'!Z7="ordinaire",'PA 9'!Z7="ordinaire"))),0,"ATTENTION: la même procédure de décompte AVS doit être utilisée pour tous les prestataires d’assistance!")</f>
        <v>0</v>
      </c>
      <c r="T24" s="462"/>
      <c r="U24" s="463"/>
      <c r="V24" s="404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0" t="str">
        <f>IF(AND(C16="Salaire mensuel",G12="oui"),"Nombre d'engagements de nuit",IF(P10&gt;0.1,"Nombre d'engagements de nuit",""))</f>
        <v/>
      </c>
      <c r="B25" s="266" t="str">
        <f>IF(A25="Nombre d'engagements de nuit","Nb."," ")</f>
        <v xml:space="preserve"> </v>
      </c>
      <c r="C25" s="284"/>
      <c r="D25" s="284"/>
      <c r="E25" s="284"/>
      <c r="F25" s="284"/>
      <c r="G25" s="284"/>
      <c r="H25" s="285"/>
      <c r="I25" s="370" t="str">
        <f t="shared" si="0"/>
        <v/>
      </c>
      <c r="J25" s="266" t="str">
        <f>B25</f>
        <v xml:space="preserve"> </v>
      </c>
      <c r="K25" s="284"/>
      <c r="L25" s="284"/>
      <c r="M25" s="284"/>
      <c r="N25" s="284"/>
      <c r="O25" s="284"/>
      <c r="P25" s="301"/>
      <c r="Q25" s="298">
        <f t="shared" si="3"/>
        <v>0</v>
      </c>
      <c r="R25" s="76"/>
      <c r="S25" s="461"/>
      <c r="T25" s="462"/>
      <c r="U25" s="463"/>
      <c r="V25" s="404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08" t="str">
        <f>IF(AND($C$16="Salaire mensuel",$G$12="oui"),"Nombre d'heures",IF(C16="Salaire horaire",IF(G10="oui","Nombre d'heures I","Nombre d'heures"),""))</f>
        <v/>
      </c>
      <c r="B26" s="267" t="str">
        <f>IF(OR(A26="Nombre d'heures Standard",A26="Nombre d'heures",A26="Nombre d'heures I"),"h"," ")</f>
        <v xml:space="preserve"> </v>
      </c>
      <c r="C26" s="283"/>
      <c r="D26" s="283"/>
      <c r="E26" s="283"/>
      <c r="F26" s="283"/>
      <c r="G26" s="283"/>
      <c r="H26" s="282"/>
      <c r="I26" s="308" t="str">
        <f t="shared" si="0"/>
        <v/>
      </c>
      <c r="J26" s="267" t="str">
        <f>IF(OR(I26="Nombre d'heures Standard",I26="Nombre d'heures",I26="Nombre d'heures I"),"h"," ")</f>
        <v xml:space="preserve"> </v>
      </c>
      <c r="K26" s="283"/>
      <c r="L26" s="283"/>
      <c r="M26" s="283"/>
      <c r="N26" s="283"/>
      <c r="O26" s="283"/>
      <c r="P26" s="282"/>
      <c r="Q26" s="300">
        <f t="shared" si="3"/>
        <v>0</v>
      </c>
      <c r="R26" s="76"/>
      <c r="S26" s="461"/>
      <c r="T26" s="462"/>
      <c r="U26" s="463"/>
      <c r="V26" s="404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08" t="str">
        <f>IF($C$16="Salaire horaire",IF(G10="oui","Salaire horaire I","Salaire horaire"),"")</f>
        <v/>
      </c>
      <c r="B27" s="266" t="str">
        <f>IF(OR(A27="Salaire horaire Standard",A27="Salaire horaire",A27="Salaire horaire I"),"CHF"," ")</f>
        <v xml:space="preserve"> </v>
      </c>
      <c r="C27" s="233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3" t="str">
        <f t="shared" si="6"/>
        <v/>
      </c>
      <c r="E27" s="233" t="str">
        <f t="shared" si="6"/>
        <v/>
      </c>
      <c r="F27" s="233" t="str">
        <f t="shared" si="6"/>
        <v/>
      </c>
      <c r="G27" s="233" t="str">
        <f t="shared" si="6"/>
        <v/>
      </c>
      <c r="H27" s="234" t="str">
        <f t="shared" si="6"/>
        <v/>
      </c>
      <c r="I27" s="308" t="str">
        <f t="shared" si="0"/>
        <v/>
      </c>
      <c r="J27" s="266" t="str">
        <f>IF(OR(I27="Salaire horaire Standard",I27="Salaire horaire",I27="Salaire horaire I"),"CHF"," ")</f>
        <v xml:space="preserve"> </v>
      </c>
      <c r="K27" s="233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3" t="str">
        <f t="shared" si="7"/>
        <v/>
      </c>
      <c r="M27" s="233" t="str">
        <f t="shared" si="7"/>
        <v/>
      </c>
      <c r="N27" s="233" t="str">
        <f t="shared" si="7"/>
        <v/>
      </c>
      <c r="O27" s="233" t="str">
        <f t="shared" si="7"/>
        <v/>
      </c>
      <c r="P27" s="234" t="str">
        <f t="shared" si="7"/>
        <v/>
      </c>
      <c r="Q27" s="300">
        <f t="shared" si="3"/>
        <v>0</v>
      </c>
      <c r="R27" s="76"/>
      <c r="S27" s="258"/>
      <c r="T27" s="2"/>
      <c r="U27" s="259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08" t="str">
        <f>IF(G10="oui","Nombre d'heures II","")</f>
        <v/>
      </c>
      <c r="B28" s="267" t="str">
        <f>IF(OR(A28="Nombre d'heures Quali B",A28="Nombre d'heures II"),"h"," ")</f>
        <v xml:space="preserve"> </v>
      </c>
      <c r="C28" s="283"/>
      <c r="D28" s="283"/>
      <c r="E28" s="283"/>
      <c r="F28" s="283"/>
      <c r="G28" s="283"/>
      <c r="H28" s="282"/>
      <c r="I28" s="308" t="str">
        <f t="shared" si="0"/>
        <v/>
      </c>
      <c r="J28" s="267" t="str">
        <f>IF(OR(I28="Nombre d'heures Quali B",I28="Nombre d'heures II"),"h"," ")</f>
        <v xml:space="preserve"> </v>
      </c>
      <c r="K28" s="283"/>
      <c r="L28" s="283"/>
      <c r="M28" s="283"/>
      <c r="N28" s="299"/>
      <c r="O28" s="283"/>
      <c r="P28" s="282"/>
      <c r="Q28" s="300">
        <f t="shared" si="3"/>
        <v>0</v>
      </c>
      <c r="R28" s="78"/>
      <c r="S28" s="461">
        <f>IF(AND(AC6="oui",(G12="oui")),"ATTENTION: le salaire des proches ne doit pas réglé au contributin d'assistance AI",0)</f>
        <v>0</v>
      </c>
      <c r="T28" s="462"/>
      <c r="U28" s="463"/>
      <c r="V28" s="404"/>
      <c r="W28" s="78"/>
      <c r="X28" s="101"/>
      <c r="Y28" s="98"/>
    </row>
    <row r="29" spans="1:37" s="6" customFormat="1" x14ac:dyDescent="0.2">
      <c r="A29" s="308" t="str">
        <f>IF(G10="oui","Salaire horaire II","")</f>
        <v/>
      </c>
      <c r="B29" s="266" t="str">
        <f>IF(OR(A29="Salaire horaire Quali B",A29="Salaire horaire II"),"CHF"," ")</f>
        <v xml:space="preserve"> </v>
      </c>
      <c r="C29" s="233" t="str">
        <f t="shared" ref="C29:H29" si="8">IF($C$16="Salaire horaire",(IF(OR((DATEDIF($F$7,C21,"Y")&lt;20),(DATEDIF($F$7,C21,"Y")&gt;49)),$M$13/110.64%*(C28),$M$13/108.33%*(C28))),"")</f>
        <v/>
      </c>
      <c r="D29" s="233" t="str">
        <f t="shared" si="8"/>
        <v/>
      </c>
      <c r="E29" s="233" t="str">
        <f t="shared" si="8"/>
        <v/>
      </c>
      <c r="F29" s="233" t="str">
        <f t="shared" si="8"/>
        <v/>
      </c>
      <c r="G29" s="233" t="str">
        <f t="shared" si="8"/>
        <v/>
      </c>
      <c r="H29" s="234" t="str">
        <f t="shared" si="8"/>
        <v/>
      </c>
      <c r="I29" s="308" t="str">
        <f t="shared" si="0"/>
        <v/>
      </c>
      <c r="J29" s="266" t="str">
        <f>IF(OR(I29="Salaire horaire Quali B",I29="Salaire horaire II"),"CHF"," ")</f>
        <v xml:space="preserve"> </v>
      </c>
      <c r="K29" s="233" t="str">
        <f t="shared" ref="K29:P29" si="9">IF($C$16="Salaire horaire",(IF(OR((DATEDIF($F$7,K21,"Y")&lt;20),(DATEDIF($F$7,K21,"Y")&gt;49)),$M$13/110.64%*(K28),$M$13/108.33%*(K28))),"")</f>
        <v/>
      </c>
      <c r="L29" s="233" t="str">
        <f t="shared" si="9"/>
        <v/>
      </c>
      <c r="M29" s="233" t="str">
        <f t="shared" si="9"/>
        <v/>
      </c>
      <c r="N29" s="233" t="str">
        <f t="shared" si="9"/>
        <v/>
      </c>
      <c r="O29" s="233" t="str">
        <f t="shared" si="9"/>
        <v/>
      </c>
      <c r="P29" s="234" t="str">
        <f t="shared" si="9"/>
        <v/>
      </c>
      <c r="Q29" s="300">
        <f t="shared" si="3"/>
        <v>0</v>
      </c>
      <c r="R29" s="65"/>
      <c r="S29" s="461"/>
      <c r="T29" s="462"/>
      <c r="U29" s="463"/>
      <c r="V29" s="404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08" t="str">
        <f>IF($C$16="Salaire horaire","Supplément de vacances","")</f>
        <v/>
      </c>
      <c r="B30" s="266" t="str">
        <f>IF(A30="Supplément de vacances","CHF"," ")</f>
        <v xml:space="preserve"> </v>
      </c>
      <c r="C30" s="233">
        <f t="shared" ref="C30:H30" si="10">IF($C$16="Salaire horaire",(ROUND(IF(OR((DATEDIF($F$7,C$21,"Y")&lt;20),(DATEDIF($F$7,C$21,"Y")&gt;49)),(C$27+C$29)*10.64%,(C$27+C$29)*8.33%),2)),)</f>
        <v>0</v>
      </c>
      <c r="D30" s="233">
        <f t="shared" si="10"/>
        <v>0</v>
      </c>
      <c r="E30" s="233">
        <f t="shared" si="10"/>
        <v>0</v>
      </c>
      <c r="F30" s="233">
        <f t="shared" si="10"/>
        <v>0</v>
      </c>
      <c r="G30" s="233">
        <f t="shared" si="10"/>
        <v>0</v>
      </c>
      <c r="H30" s="234">
        <f t="shared" si="10"/>
        <v>0</v>
      </c>
      <c r="I30" s="308" t="str">
        <f t="shared" si="0"/>
        <v/>
      </c>
      <c r="J30" s="266" t="str">
        <f>IF(I30="Supplément de vacances","CHF"," ")</f>
        <v xml:space="preserve"> </v>
      </c>
      <c r="K30" s="233">
        <f t="shared" ref="K30:P30" si="11">IF($C$16="Salaire horaire",(ROUND(IF(OR((DATEDIF($F$7,K$21,"Y")&lt;20),(DATEDIF($F$7,K$21,"Y")&gt;49)),(K$27+K$29)*10.64%,(K$27+K$29)*8.33%),2)),)</f>
        <v>0</v>
      </c>
      <c r="L30" s="233">
        <f t="shared" si="11"/>
        <v>0</v>
      </c>
      <c r="M30" s="233">
        <f t="shared" si="11"/>
        <v>0</v>
      </c>
      <c r="N30" s="233">
        <f t="shared" si="11"/>
        <v>0</v>
      </c>
      <c r="O30" s="233">
        <f t="shared" si="11"/>
        <v>0</v>
      </c>
      <c r="P30" s="234">
        <f t="shared" si="11"/>
        <v>0</v>
      </c>
      <c r="Q30" s="300">
        <f t="shared" si="3"/>
        <v>0</v>
      </c>
      <c r="R30" s="65"/>
      <c r="S30" s="461"/>
      <c r="T30" s="462"/>
      <c r="U30" s="463"/>
      <c r="V30" s="404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09" t="s">
        <v>127</v>
      </c>
      <c r="B31" s="267" t="s">
        <v>128</v>
      </c>
      <c r="C31" s="412"/>
      <c r="D31" s="413"/>
      <c r="E31" s="413"/>
      <c r="F31" s="413"/>
      <c r="G31" s="413"/>
      <c r="H31" s="414"/>
      <c r="I31" s="309" t="str">
        <f t="shared" si="0"/>
        <v>Repas &amp; logement</v>
      </c>
      <c r="J31" s="267" t="s">
        <v>128</v>
      </c>
      <c r="K31" s="412"/>
      <c r="L31" s="412"/>
      <c r="M31" s="412"/>
      <c r="N31" s="412"/>
      <c r="O31" s="412"/>
      <c r="P31" s="414"/>
      <c r="Q31" s="83">
        <f t="shared" si="3"/>
        <v>0</v>
      </c>
      <c r="R31" s="65"/>
      <c r="S31" s="457">
        <f>IF(AND(M7+M12&gt;8,T11=0),"Remarque: à partir de 8 heures de travail effectives par semaine, l’employé doit avoir souscrit une assurance-accidents non professionnels!",0)</f>
        <v>0</v>
      </c>
      <c r="T31" s="458"/>
      <c r="U31" s="459"/>
      <c r="V31" s="403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09" t="s">
        <v>129</v>
      </c>
      <c r="B32" s="268" t="s">
        <v>128</v>
      </c>
      <c r="C32" s="412"/>
      <c r="D32" s="413"/>
      <c r="E32" s="413"/>
      <c r="F32" s="413"/>
      <c r="G32" s="413"/>
      <c r="H32" s="415"/>
      <c r="I32" s="309" t="str">
        <f t="shared" si="0"/>
        <v>Oblig. de verser le salaire (art. 324a CO) (soumis à l'AVS)</v>
      </c>
      <c r="J32" s="268" t="s">
        <v>128</v>
      </c>
      <c r="K32" s="413"/>
      <c r="L32" s="413"/>
      <c r="M32" s="413"/>
      <c r="N32" s="416"/>
      <c r="O32" s="413"/>
      <c r="P32" s="415"/>
      <c r="Q32" s="70">
        <f t="shared" si="3"/>
        <v>0</v>
      </c>
      <c r="R32" s="65"/>
      <c r="S32" s="457"/>
      <c r="T32" s="458"/>
      <c r="U32" s="459"/>
      <c r="V32" s="403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09" t="s">
        <v>130</v>
      </c>
      <c r="B33" s="268" t="s">
        <v>128</v>
      </c>
      <c r="C33" s="412"/>
      <c r="D33" s="413"/>
      <c r="E33" s="413"/>
      <c r="F33" s="413"/>
      <c r="G33" s="413"/>
      <c r="H33" s="415"/>
      <c r="I33" s="309" t="str">
        <f t="shared" si="0"/>
        <v>Oblig. de verser le salaire
(soumis à l'AVS)</v>
      </c>
      <c r="J33" s="268" t="s">
        <v>128</v>
      </c>
      <c r="K33" s="413"/>
      <c r="L33" s="413"/>
      <c r="M33" s="413"/>
      <c r="N33" s="416"/>
      <c r="O33" s="413"/>
      <c r="P33" s="415"/>
      <c r="Q33" s="70">
        <f t="shared" si="3"/>
        <v>0</v>
      </c>
      <c r="R33" s="65"/>
      <c r="S33" s="457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8"/>
      <c r="U33" s="459"/>
      <c r="V33" s="403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36" x14ac:dyDescent="0.2">
      <c r="A34" s="310" t="s">
        <v>131</v>
      </c>
      <c r="B34" s="269" t="s">
        <v>128</v>
      </c>
      <c r="C34" s="412"/>
      <c r="D34" s="413"/>
      <c r="E34" s="413"/>
      <c r="F34" s="413"/>
      <c r="G34" s="413"/>
      <c r="H34" s="415"/>
      <c r="I34" s="310" t="str">
        <f t="shared" si="0"/>
        <v>Allocation maternité / militaire (soumis à l'AVS)</v>
      </c>
      <c r="J34" s="269" t="s">
        <v>128</v>
      </c>
      <c r="K34" s="413"/>
      <c r="L34" s="413"/>
      <c r="M34" s="413"/>
      <c r="N34" s="416"/>
      <c r="O34" s="413"/>
      <c r="P34" s="415"/>
      <c r="Q34" s="70">
        <f t="shared" si="3"/>
        <v>0</v>
      </c>
      <c r="R34" s="57"/>
      <c r="S34" s="457"/>
      <c r="T34" s="458"/>
      <c r="U34" s="459"/>
      <c r="V34" s="403"/>
      <c r="W34" s="2">
        <f>IF(S33&gt;1,1,0)</f>
        <v>0</v>
      </c>
      <c r="X34" s="101"/>
      <c r="Y34" s="110">
        <f t="shared" ref="Y34:AD34" si="12">C21</f>
        <v>45292</v>
      </c>
      <c r="Z34" s="110">
        <f t="shared" si="12"/>
        <v>45323</v>
      </c>
      <c r="AA34" s="110">
        <f t="shared" si="12"/>
        <v>45352</v>
      </c>
      <c r="AB34" s="110">
        <f t="shared" si="12"/>
        <v>45383</v>
      </c>
      <c r="AC34" s="110">
        <f t="shared" si="12"/>
        <v>45413</v>
      </c>
      <c r="AD34" s="110">
        <f t="shared" si="12"/>
        <v>45444</v>
      </c>
      <c r="AE34" s="110">
        <f t="shared" ref="AE34:AJ34" si="13">K21</f>
        <v>45474</v>
      </c>
      <c r="AF34" s="110">
        <f t="shared" si="13"/>
        <v>45505</v>
      </c>
      <c r="AG34" s="110">
        <f t="shared" si="13"/>
        <v>45536</v>
      </c>
      <c r="AH34" s="110">
        <f t="shared" si="13"/>
        <v>45566</v>
      </c>
      <c r="AI34" s="110">
        <f t="shared" si="13"/>
        <v>45597</v>
      </c>
      <c r="AJ34" s="110">
        <f t="shared" si="13"/>
        <v>45627</v>
      </c>
    </row>
    <row r="35" spans="1:37" s="2" customFormat="1" ht="24" x14ac:dyDescent="0.2">
      <c r="A35" s="310" t="s">
        <v>132</v>
      </c>
      <c r="B35" s="269" t="s">
        <v>128</v>
      </c>
      <c r="C35" s="412"/>
      <c r="D35" s="413"/>
      <c r="E35" s="413"/>
      <c r="F35" s="413"/>
      <c r="G35" s="413"/>
      <c r="H35" s="415"/>
      <c r="I35" s="310" t="str">
        <f t="shared" si="0"/>
        <v>Indemnité d'assurance
(non soumis AVS)</v>
      </c>
      <c r="J35" s="269" t="s">
        <v>128</v>
      </c>
      <c r="K35" s="413"/>
      <c r="L35" s="413"/>
      <c r="M35" s="413"/>
      <c r="N35" s="416"/>
      <c r="O35" s="413"/>
      <c r="P35" s="415"/>
      <c r="Q35" s="70">
        <f t="shared" si="3"/>
        <v>0</v>
      </c>
      <c r="R35" s="57"/>
      <c r="S35" s="457"/>
      <c r="T35" s="458"/>
      <c r="U35" s="459"/>
      <c r="V35" s="403"/>
      <c r="W35" s="57"/>
      <c r="X35" s="101" t="s">
        <v>133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08" t="s">
        <v>134</v>
      </c>
      <c r="B36" s="267" t="s">
        <v>128</v>
      </c>
      <c r="C36" s="412"/>
      <c r="D36" s="413"/>
      <c r="E36" s="413"/>
      <c r="F36" s="413"/>
      <c r="G36" s="413"/>
      <c r="H36" s="415"/>
      <c r="I36" s="308" t="str">
        <f t="shared" si="0"/>
        <v>Allocations familiales</v>
      </c>
      <c r="J36" s="267" t="s">
        <v>128</v>
      </c>
      <c r="K36" s="413"/>
      <c r="L36" s="413"/>
      <c r="M36" s="413"/>
      <c r="N36" s="416"/>
      <c r="O36" s="413"/>
      <c r="P36" s="415"/>
      <c r="Q36" s="70">
        <f t="shared" si="3"/>
        <v>0</v>
      </c>
      <c r="R36" s="57"/>
      <c r="S36" s="457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8"/>
      <c r="U36" s="459"/>
      <c r="V36" s="403"/>
      <c r="W36" s="57"/>
      <c r="X36" s="105" t="s">
        <v>135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1" t="s">
        <v>136</v>
      </c>
      <c r="B37" s="270" t="s">
        <v>128</v>
      </c>
      <c r="C37" s="286">
        <f t="shared" ref="C37:H37" si="17">IF($C$16="Salaire horaire",SUM(C27,C29,C30,C31,C32,C33,C34,C35,C36),SUM(C22,C23,C30,C31,C32,C33,C34,C35,C36))</f>
        <v>0</v>
      </c>
      <c r="D37" s="286">
        <f t="shared" si="17"/>
        <v>0</v>
      </c>
      <c r="E37" s="286">
        <f t="shared" si="17"/>
        <v>0</v>
      </c>
      <c r="F37" s="286">
        <f t="shared" si="17"/>
        <v>0</v>
      </c>
      <c r="G37" s="286">
        <f t="shared" si="17"/>
        <v>0</v>
      </c>
      <c r="H37" s="238">
        <f t="shared" si="17"/>
        <v>0</v>
      </c>
      <c r="I37" s="311" t="str">
        <f t="shared" si="0"/>
        <v>Salaire brut</v>
      </c>
      <c r="J37" s="270" t="s">
        <v>128</v>
      </c>
      <c r="K37" s="286">
        <f t="shared" ref="K37:P37" si="18">IF($C$16="Salaire horaire",SUM(K27,K29,K30,K31,K32,K33,K34,K35,K36),SUM(K22,K23,K30,K31,K32,K33,K34,K35,K36))</f>
        <v>0</v>
      </c>
      <c r="L37" s="286">
        <f t="shared" si="18"/>
        <v>0</v>
      </c>
      <c r="M37" s="286">
        <f t="shared" si="18"/>
        <v>0</v>
      </c>
      <c r="N37" s="302">
        <f t="shared" si="18"/>
        <v>0</v>
      </c>
      <c r="O37" s="286">
        <f t="shared" si="18"/>
        <v>0</v>
      </c>
      <c r="P37" s="238">
        <f t="shared" si="18"/>
        <v>0</v>
      </c>
      <c r="Q37" s="238">
        <f t="shared" si="3"/>
        <v>0</v>
      </c>
      <c r="R37" s="57"/>
      <c r="S37" s="457"/>
      <c r="T37" s="458"/>
      <c r="U37" s="459"/>
      <c r="V37" s="403"/>
      <c r="W37" s="2">
        <f>IF(S36&gt;1,5,0)</f>
        <v>0</v>
      </c>
      <c r="X37" s="101" t="s">
        <v>137</v>
      </c>
      <c r="Y37" s="163">
        <f t="shared" ref="Y37:AD37" si="19">IF(Y35=0,0,IF($C$16="Salaire horaire",SUM(C27,C29,C30,C31,C32,C33,C34),SUM(C22,C23,C30,C31,C32,C33,C34)))</f>
        <v>0</v>
      </c>
      <c r="Z37" s="163">
        <f t="shared" si="19"/>
        <v>0</v>
      </c>
      <c r="AA37" s="163">
        <f t="shared" si="19"/>
        <v>0</v>
      </c>
      <c r="AB37" s="163">
        <f t="shared" si="19"/>
        <v>0</v>
      </c>
      <c r="AC37" s="163">
        <f t="shared" si="19"/>
        <v>0</v>
      </c>
      <c r="AD37" s="163">
        <f t="shared" si="19"/>
        <v>0</v>
      </c>
      <c r="AE37" s="163">
        <f t="shared" ref="AE37:AJ37" si="20">IF(AE35=0,0,IF($C$16="Salaire horaire",SUM(K27,K29,K30,K31,K32,K33,K34),SUM(K22,K23,K30,K31,K32,K33,K34)))</f>
        <v>0</v>
      </c>
      <c r="AF37" s="163">
        <f t="shared" si="20"/>
        <v>0</v>
      </c>
      <c r="AG37" s="163">
        <f t="shared" si="20"/>
        <v>0</v>
      </c>
      <c r="AH37" s="163">
        <f t="shared" si="20"/>
        <v>0</v>
      </c>
      <c r="AI37" s="163">
        <f t="shared" si="20"/>
        <v>0</v>
      </c>
      <c r="AJ37" s="163">
        <f t="shared" si="20"/>
        <v>0</v>
      </c>
    </row>
    <row r="38" spans="1:37" s="2" customFormat="1" ht="12" x14ac:dyDescent="0.2">
      <c r="A38" s="308" t="s">
        <v>138</v>
      </c>
      <c r="B38" s="271" t="s">
        <v>128</v>
      </c>
      <c r="C38" s="430">
        <f t="shared" ref="C38:H38" si="21">Y42</f>
        <v>0</v>
      </c>
      <c r="D38" s="430">
        <f t="shared" si="21"/>
        <v>0</v>
      </c>
      <c r="E38" s="430">
        <f t="shared" si="21"/>
        <v>0</v>
      </c>
      <c r="F38" s="430">
        <f t="shared" si="21"/>
        <v>0</v>
      </c>
      <c r="G38" s="430">
        <f t="shared" si="21"/>
        <v>0</v>
      </c>
      <c r="H38" s="431">
        <f t="shared" si="21"/>
        <v>0</v>
      </c>
      <c r="I38" s="308" t="str">
        <f t="shared" si="0"/>
        <v>Franchise rentier AVS</v>
      </c>
      <c r="J38" s="271" t="s">
        <v>128</v>
      </c>
      <c r="K38" s="430">
        <f t="shared" ref="K38:P38" si="22">AE42</f>
        <v>0</v>
      </c>
      <c r="L38" s="430">
        <f t="shared" si="22"/>
        <v>0</v>
      </c>
      <c r="M38" s="430">
        <f t="shared" si="22"/>
        <v>0</v>
      </c>
      <c r="N38" s="430">
        <f t="shared" si="22"/>
        <v>0</v>
      </c>
      <c r="O38" s="430">
        <f t="shared" si="22"/>
        <v>0</v>
      </c>
      <c r="P38" s="432">
        <f t="shared" si="22"/>
        <v>0</v>
      </c>
      <c r="Q38" s="303">
        <f>SUM(C38:H38)+SUM(K38:P38)</f>
        <v>0</v>
      </c>
      <c r="R38" s="57"/>
      <c r="S38" s="457"/>
      <c r="T38" s="458"/>
      <c r="U38" s="459"/>
      <c r="V38" s="403"/>
      <c r="W38" s="57"/>
      <c r="X38" s="2" t="s">
        <v>139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1" t="s">
        <v>140</v>
      </c>
      <c r="B39" s="270" t="s">
        <v>128</v>
      </c>
      <c r="C39" s="286">
        <f t="shared" ref="C39:H39" si="24">C37-C36-C35-C38</f>
        <v>0</v>
      </c>
      <c r="D39" s="286">
        <f t="shared" si="24"/>
        <v>0</v>
      </c>
      <c r="E39" s="286">
        <f t="shared" si="24"/>
        <v>0</v>
      </c>
      <c r="F39" s="286">
        <f t="shared" si="24"/>
        <v>0</v>
      </c>
      <c r="G39" s="286">
        <f t="shared" si="24"/>
        <v>0</v>
      </c>
      <c r="H39" s="238">
        <f t="shared" si="24"/>
        <v>0</v>
      </c>
      <c r="I39" s="311" t="str">
        <f t="shared" si="0"/>
        <v>AVS montant brut</v>
      </c>
      <c r="J39" s="270" t="s">
        <v>128</v>
      </c>
      <c r="K39" s="286">
        <f t="shared" ref="K39:P39" si="25">K37-K36-K35-K38</f>
        <v>0</v>
      </c>
      <c r="L39" s="286">
        <f t="shared" si="25"/>
        <v>0</v>
      </c>
      <c r="M39" s="286">
        <f t="shared" si="25"/>
        <v>0</v>
      </c>
      <c r="N39" s="302">
        <f t="shared" si="25"/>
        <v>0</v>
      </c>
      <c r="O39" s="286">
        <f t="shared" si="25"/>
        <v>0</v>
      </c>
      <c r="P39" s="238">
        <f t="shared" si="25"/>
        <v>0</v>
      </c>
      <c r="Q39" s="238">
        <f>ROUND((SUM(C39:H39)+SUM(K39:P39))*20,0)/20</f>
        <v>0</v>
      </c>
      <c r="R39" s="79"/>
      <c r="S39" s="457"/>
      <c r="T39" s="458"/>
      <c r="U39" s="459"/>
      <c r="V39" s="403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08" t="str">
        <f>CONCATENATE("AVS/AI/APG ",T8*100,"%")</f>
        <v>AVS/AI/APG 0%</v>
      </c>
      <c r="B40" s="272" t="s">
        <v>128</v>
      </c>
      <c r="C40" s="230">
        <f t="shared" ref="C40:H40" si="26">C$39*-$T$8</f>
        <v>0</v>
      </c>
      <c r="D40" s="230">
        <f t="shared" si="26"/>
        <v>0</v>
      </c>
      <c r="E40" s="230">
        <f t="shared" si="26"/>
        <v>0</v>
      </c>
      <c r="F40" s="230">
        <f t="shared" si="26"/>
        <v>0</v>
      </c>
      <c r="G40" s="230">
        <f t="shared" si="26"/>
        <v>0</v>
      </c>
      <c r="H40" s="231">
        <f t="shared" si="26"/>
        <v>0</v>
      </c>
      <c r="I40" s="322" t="str">
        <f t="shared" si="0"/>
        <v>AVS/AI/APG 0%</v>
      </c>
      <c r="J40" s="272" t="s">
        <v>128</v>
      </c>
      <c r="K40" s="230">
        <f t="shared" ref="K40:P40" si="27">K$39*-$T$8</f>
        <v>0</v>
      </c>
      <c r="L40" s="230">
        <f t="shared" si="27"/>
        <v>0</v>
      </c>
      <c r="M40" s="230">
        <f t="shared" si="27"/>
        <v>0</v>
      </c>
      <c r="N40" s="232">
        <f t="shared" si="27"/>
        <v>0</v>
      </c>
      <c r="O40" s="230">
        <f t="shared" si="27"/>
        <v>0</v>
      </c>
      <c r="P40" s="231">
        <f t="shared" si="27"/>
        <v>0</v>
      </c>
      <c r="Q40" s="235">
        <f t="shared" ref="Q40:Q48" si="28">ROUND((SUM(C40:H40)+SUM(K40:P40))*20,0)/20</f>
        <v>0</v>
      </c>
      <c r="R40" s="65"/>
      <c r="S40" s="474"/>
      <c r="T40" s="475"/>
      <c r="U40" s="476"/>
      <c r="V40" s="403"/>
      <c r="W40" s="65"/>
      <c r="X40" s="2" t="s">
        <v>141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08" t="str">
        <f>CONCATENATE("AC ",T9*100,"%")</f>
        <v>AC 0%</v>
      </c>
      <c r="B41" s="267" t="s">
        <v>128</v>
      </c>
      <c r="C41" s="233">
        <f t="shared" ref="C41:H41" si="30">C$39*(IF(DATEDIF($F$7,$D$1,"Y")&lt;18,0,IF(DATEDIF($F$7,C21,"Y")&gt;(IF($C$10="féminin",63,64)),0,-1.1%)))</f>
        <v>0</v>
      </c>
      <c r="D41" s="233">
        <f t="shared" si="30"/>
        <v>0</v>
      </c>
      <c r="E41" s="233">
        <f t="shared" si="30"/>
        <v>0</v>
      </c>
      <c r="F41" s="233">
        <f t="shared" si="30"/>
        <v>0</v>
      </c>
      <c r="G41" s="233">
        <f t="shared" si="30"/>
        <v>0</v>
      </c>
      <c r="H41" s="234">
        <f t="shared" si="30"/>
        <v>0</v>
      </c>
      <c r="I41" s="322" t="str">
        <f t="shared" si="0"/>
        <v>AC 0%</v>
      </c>
      <c r="J41" s="267" t="s">
        <v>128</v>
      </c>
      <c r="K41" s="233">
        <f t="shared" ref="K41:P41" si="31">K$39*(IF(DATEDIF($F$7,$D$1,"Y")&lt;18,0,IF(DATEDIF($F$7,K21,"Y")&gt;(IF($C$10="féminin",63,64)),0,-1.1%)))</f>
        <v>0</v>
      </c>
      <c r="L41" s="233">
        <f t="shared" si="31"/>
        <v>0</v>
      </c>
      <c r="M41" s="233">
        <f t="shared" si="31"/>
        <v>0</v>
      </c>
      <c r="N41" s="232">
        <f t="shared" si="31"/>
        <v>0</v>
      </c>
      <c r="O41" s="233">
        <f t="shared" si="31"/>
        <v>0</v>
      </c>
      <c r="P41" s="234">
        <f t="shared" si="31"/>
        <v>0</v>
      </c>
      <c r="Q41" s="236">
        <f t="shared" si="28"/>
        <v>0</v>
      </c>
      <c r="R41" s="79"/>
      <c r="S41" s="472"/>
      <c r="T41" s="472"/>
      <c r="U41" s="472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08" t="str">
        <f>IF(T11&lt;0.01,"ANP",(CONCATENATE("ANP ",T11*100,"%")))</f>
        <v>ANP</v>
      </c>
      <c r="B42" s="267" t="s">
        <v>128</v>
      </c>
      <c r="C42" s="412">
        <f t="shared" ref="C42:H42" si="32">(C$37-C$34-C$35-C$36)*-$T$11</f>
        <v>0</v>
      </c>
      <c r="D42" s="412">
        <f t="shared" si="32"/>
        <v>0</v>
      </c>
      <c r="E42" s="412">
        <f t="shared" si="32"/>
        <v>0</v>
      </c>
      <c r="F42" s="412">
        <f t="shared" si="32"/>
        <v>0</v>
      </c>
      <c r="G42" s="412">
        <f t="shared" si="32"/>
        <v>0</v>
      </c>
      <c r="H42" s="414">
        <f t="shared" si="32"/>
        <v>0</v>
      </c>
      <c r="I42" s="322" t="str">
        <f t="shared" si="0"/>
        <v>ANP</v>
      </c>
      <c r="J42" s="267" t="s">
        <v>128</v>
      </c>
      <c r="K42" s="412">
        <f t="shared" ref="K42:P42" si="33">(K$37-K$34-K$35-K$36)*-$T$11</f>
        <v>0</v>
      </c>
      <c r="L42" s="412">
        <f t="shared" si="33"/>
        <v>0</v>
      </c>
      <c r="M42" s="412">
        <f t="shared" si="33"/>
        <v>0</v>
      </c>
      <c r="N42" s="416">
        <f t="shared" si="33"/>
        <v>0</v>
      </c>
      <c r="O42" s="412">
        <f t="shared" si="33"/>
        <v>0</v>
      </c>
      <c r="P42" s="414">
        <f t="shared" si="33"/>
        <v>0</v>
      </c>
      <c r="Q42" s="236">
        <f t="shared" si="28"/>
        <v>0</v>
      </c>
      <c r="R42" s="65"/>
      <c r="S42" s="473"/>
      <c r="T42" s="473"/>
      <c r="U42" s="473"/>
      <c r="V42" s="79"/>
      <c r="W42" s="2">
        <f>IF(S41&gt;1,1,0)</f>
        <v>0</v>
      </c>
      <c r="X42" s="2" t="s">
        <v>142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08" t="str">
        <f>IF(T13&lt;0.0000001,"IJM",(CONCATENATE("IJM ",T13*100,"%")))</f>
        <v>IJM</v>
      </c>
      <c r="B43" s="267" t="s">
        <v>128</v>
      </c>
      <c r="C43" s="412">
        <f t="shared" ref="C43:H43" si="35">(C$37-C$34-C$35-C$36)*-$T$13</f>
        <v>0</v>
      </c>
      <c r="D43" s="412">
        <f t="shared" si="35"/>
        <v>0</v>
      </c>
      <c r="E43" s="412">
        <f t="shared" si="35"/>
        <v>0</v>
      </c>
      <c r="F43" s="412">
        <f t="shared" si="35"/>
        <v>0</v>
      </c>
      <c r="G43" s="412">
        <f t="shared" si="35"/>
        <v>0</v>
      </c>
      <c r="H43" s="414">
        <f t="shared" si="35"/>
        <v>0</v>
      </c>
      <c r="I43" s="322" t="str">
        <f t="shared" si="0"/>
        <v>IJM</v>
      </c>
      <c r="J43" s="267" t="s">
        <v>128</v>
      </c>
      <c r="K43" s="412">
        <f t="shared" ref="K43:P43" si="36">(K$37-K$34-K$35-K$36)*-$T$13</f>
        <v>0</v>
      </c>
      <c r="L43" s="412">
        <f t="shared" si="36"/>
        <v>0</v>
      </c>
      <c r="M43" s="412">
        <f t="shared" si="36"/>
        <v>0</v>
      </c>
      <c r="N43" s="416">
        <f t="shared" si="36"/>
        <v>0</v>
      </c>
      <c r="O43" s="412">
        <f t="shared" si="36"/>
        <v>0</v>
      </c>
      <c r="P43" s="414">
        <f t="shared" si="36"/>
        <v>0</v>
      </c>
      <c r="Q43" s="236">
        <f t="shared" si="28"/>
        <v>0</v>
      </c>
      <c r="R43" s="65"/>
      <c r="S43" s="473"/>
      <c r="T43" s="473"/>
      <c r="U43" s="473"/>
      <c r="V43" s="65"/>
      <c r="W43" s="65"/>
      <c r="X43" s="101" t="s">
        <v>143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1">
        <f>MROUND(SUM(Y43:AJ43),0.05)</f>
        <v>0</v>
      </c>
    </row>
    <row r="44" spans="1:37" s="2" customFormat="1" ht="15" customHeight="1" x14ac:dyDescent="0.2">
      <c r="A44" s="308" t="str">
        <f>IF(T16&gt;0.01%,(CONCATENATE("LPP ",T16*100,"%")),IF(T15&lt;0.01,"LPP",(CONCATENATE("LPP ","CHF ",T15))))</f>
        <v>LPP</v>
      </c>
      <c r="B44" s="267" t="s">
        <v>128</v>
      </c>
      <c r="C44" s="412">
        <f t="shared" ref="C44:H44" si="39">IF(C39&lt;1,0,(IF(DATEDIF($F$7,$D$1,"Y")&lt;19,0,(IF(DATEDIF($F$7,C21,"Y")&gt;(IF($C$10="féminin",63,64)),0,IF($T$16&gt;0.1%,-$T$16*C39,-$T$15))))))</f>
        <v>0</v>
      </c>
      <c r="D44" s="412">
        <f t="shared" si="39"/>
        <v>0</v>
      </c>
      <c r="E44" s="412">
        <f t="shared" si="39"/>
        <v>0</v>
      </c>
      <c r="F44" s="412">
        <f t="shared" si="39"/>
        <v>0</v>
      </c>
      <c r="G44" s="412">
        <f t="shared" si="39"/>
        <v>0</v>
      </c>
      <c r="H44" s="414">
        <f t="shared" si="39"/>
        <v>0</v>
      </c>
      <c r="I44" s="322" t="str">
        <f t="shared" si="0"/>
        <v>LPP</v>
      </c>
      <c r="J44" s="267" t="s">
        <v>128</v>
      </c>
      <c r="K44" s="412">
        <f t="shared" ref="K44:P44" si="40">IF(K39&lt;1,0,(IF(DATEDIF($F$7,$D$1,"Y")&lt;19,0,(IF(DATEDIF($F$7,K21,"Y")&gt;(IF($C$10="féminin",63,64)),0,IF($T$16&gt;0.1%,-$T$16*K39,-$T$15))))))</f>
        <v>0</v>
      </c>
      <c r="L44" s="412">
        <f t="shared" si="40"/>
        <v>0</v>
      </c>
      <c r="M44" s="412">
        <f t="shared" si="40"/>
        <v>0</v>
      </c>
      <c r="N44" s="416">
        <f t="shared" si="40"/>
        <v>0</v>
      </c>
      <c r="O44" s="412">
        <f t="shared" si="40"/>
        <v>0</v>
      </c>
      <c r="P44" s="414">
        <f t="shared" si="40"/>
        <v>0</v>
      </c>
      <c r="Q44" s="236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08" t="str">
        <f>IF(G13="à choisir","",IF(OR(Y9&lt;5%,G13="ordinaire",)," ",(CONCATENATE("Impôt selon LTN ",Y9*100,"%"))))</f>
        <v/>
      </c>
      <c r="B45" s="266" t="str">
        <f>IF(A45="Impôt selon LTN 5%","CHF"," ")</f>
        <v xml:space="preserve"> </v>
      </c>
      <c r="C45" s="412">
        <f t="shared" ref="C45:H45" si="41">IF(C39+C38=0,0,IF(DATEDIF($F$7,C21,"Y")&lt;(IF($C$10="féminin",64,65)),C39*-$Y$9,IF(AND(C38&gt;1),(C39+C38)*-$Y$9,C39*-$Y$9)))</f>
        <v>0</v>
      </c>
      <c r="D45" s="412">
        <f t="shared" si="41"/>
        <v>0</v>
      </c>
      <c r="E45" s="412">
        <f t="shared" si="41"/>
        <v>0</v>
      </c>
      <c r="F45" s="412">
        <f t="shared" si="41"/>
        <v>0</v>
      </c>
      <c r="G45" s="412">
        <f t="shared" si="41"/>
        <v>0</v>
      </c>
      <c r="H45" s="414">
        <f t="shared" si="41"/>
        <v>0</v>
      </c>
      <c r="I45" s="308" t="str">
        <f t="shared" si="0"/>
        <v/>
      </c>
      <c r="J45" s="266" t="str">
        <f>IF(I45="Impôt selon LTN 5%","CHF"," ")</f>
        <v xml:space="preserve"> </v>
      </c>
      <c r="K45" s="412">
        <f t="shared" ref="K45:P45" si="42">IF(K39+K38=0,0,IF(DATEDIF($F$7,K21,"Y")&lt;(IF($C$10="féminin",64,65)),K39*-$Y$9,IF(AND(K38&gt;1),(K39+K38)*-$Y$9,K39*-$Y$9)))</f>
        <v>0</v>
      </c>
      <c r="L45" s="412">
        <f t="shared" si="42"/>
        <v>0</v>
      </c>
      <c r="M45" s="412">
        <f t="shared" si="42"/>
        <v>0</v>
      </c>
      <c r="N45" s="412">
        <f t="shared" si="42"/>
        <v>0</v>
      </c>
      <c r="O45" s="412">
        <f t="shared" si="42"/>
        <v>0</v>
      </c>
      <c r="P45" s="414">
        <f t="shared" si="42"/>
        <v>0</v>
      </c>
      <c r="Q45" s="300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08" t="str">
        <f>IF(G13="ordinaire","Impôt à la source","")</f>
        <v/>
      </c>
      <c r="B46" s="266" t="str">
        <f>IF(A46="QST","CHF"," ")</f>
        <v xml:space="preserve"> </v>
      </c>
      <c r="C46" s="412"/>
      <c r="D46" s="412"/>
      <c r="E46" s="412"/>
      <c r="F46" s="412"/>
      <c r="G46" s="412"/>
      <c r="H46" s="415"/>
      <c r="I46" s="322" t="str">
        <f t="shared" si="0"/>
        <v/>
      </c>
      <c r="J46" s="266" t="str">
        <f>IF(I46="QST","CHF"," ")</f>
        <v xml:space="preserve"> </v>
      </c>
      <c r="K46" s="413"/>
      <c r="L46" s="413"/>
      <c r="M46" s="413"/>
      <c r="N46" s="416"/>
      <c r="O46" s="413"/>
      <c r="P46" s="415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08" t="s">
        <v>144</v>
      </c>
      <c r="B47" s="267" t="s">
        <v>128</v>
      </c>
      <c r="C47" s="412"/>
      <c r="D47" s="413"/>
      <c r="E47" s="413"/>
      <c r="F47" s="413"/>
      <c r="G47" s="413"/>
      <c r="H47" s="415"/>
      <c r="I47" s="322" t="str">
        <f t="shared" si="0"/>
        <v>Frais effectifs</v>
      </c>
      <c r="J47" s="267" t="s">
        <v>128</v>
      </c>
      <c r="K47" s="413"/>
      <c r="L47" s="413"/>
      <c r="M47" s="413"/>
      <c r="N47" s="416"/>
      <c r="O47" s="413"/>
      <c r="P47" s="415"/>
      <c r="Q47" s="70">
        <f t="shared" si="28"/>
        <v>0</v>
      </c>
      <c r="R47" s="165"/>
      <c r="S47" s="65"/>
      <c r="T47" s="65"/>
      <c r="U47" s="65"/>
      <c r="V47" s="165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2" t="s">
        <v>127</v>
      </c>
      <c r="B48" s="271" t="s">
        <v>128</v>
      </c>
      <c r="C48" s="412">
        <f>-C31</f>
        <v>0</v>
      </c>
      <c r="D48" s="413">
        <f t="shared" ref="D48:H48" si="43">-D31</f>
        <v>0</v>
      </c>
      <c r="E48" s="413">
        <f t="shared" si="43"/>
        <v>0</v>
      </c>
      <c r="F48" s="413">
        <f t="shared" si="43"/>
        <v>0</v>
      </c>
      <c r="G48" s="413">
        <f t="shared" si="43"/>
        <v>0</v>
      </c>
      <c r="H48" s="415">
        <f t="shared" si="43"/>
        <v>0</v>
      </c>
      <c r="I48" s="323" t="str">
        <f t="shared" si="0"/>
        <v>Repas &amp; logement</v>
      </c>
      <c r="J48" s="271" t="s">
        <v>128</v>
      </c>
      <c r="K48" s="413">
        <f t="shared" ref="K48:P48" si="44">-K31</f>
        <v>0</v>
      </c>
      <c r="L48" s="413">
        <f t="shared" si="44"/>
        <v>0</v>
      </c>
      <c r="M48" s="413">
        <f t="shared" si="44"/>
        <v>0</v>
      </c>
      <c r="N48" s="416">
        <f t="shared" si="44"/>
        <v>0</v>
      </c>
      <c r="O48" s="413">
        <f t="shared" si="44"/>
        <v>0</v>
      </c>
      <c r="P48" s="415">
        <f t="shared" si="44"/>
        <v>0</v>
      </c>
      <c r="Q48" s="237">
        <f t="shared" si="28"/>
        <v>0</v>
      </c>
      <c r="R48" s="57"/>
      <c r="S48" s="165"/>
      <c r="T48" s="165"/>
      <c r="U48" s="165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29" t="s">
        <v>145</v>
      </c>
      <c r="B49" s="330" t="s">
        <v>128</v>
      </c>
      <c r="C49" s="325">
        <f>MROUND(C37+(SUM(C40:C46)+C47+C48),0.05)</f>
        <v>0</v>
      </c>
      <c r="D49" s="325">
        <f t="shared" ref="D49:H49" si="45">MROUND(D37+(SUM(D40:D46)+D47+D48),0.05)</f>
        <v>0</v>
      </c>
      <c r="E49" s="325">
        <f t="shared" si="45"/>
        <v>0</v>
      </c>
      <c r="F49" s="325">
        <f t="shared" si="45"/>
        <v>0</v>
      </c>
      <c r="G49" s="325">
        <f t="shared" si="45"/>
        <v>0</v>
      </c>
      <c r="H49" s="327">
        <f t="shared" si="45"/>
        <v>0</v>
      </c>
      <c r="I49" s="329" t="str">
        <f t="shared" si="0"/>
        <v>Salaire net</v>
      </c>
      <c r="J49" s="330" t="s">
        <v>128</v>
      </c>
      <c r="K49" s="325">
        <f t="shared" ref="K49:P49" si="46">MROUND(K37+(SUM(K40:K46)+K47+K48),0.05)</f>
        <v>0</v>
      </c>
      <c r="L49" s="325">
        <f t="shared" si="46"/>
        <v>0</v>
      </c>
      <c r="M49" s="325">
        <f t="shared" si="46"/>
        <v>0</v>
      </c>
      <c r="N49" s="325">
        <f t="shared" si="46"/>
        <v>0</v>
      </c>
      <c r="O49" s="325">
        <f t="shared" si="46"/>
        <v>0</v>
      </c>
      <c r="P49" s="327">
        <f t="shared" si="46"/>
        <v>0</v>
      </c>
      <c r="Q49" s="238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1" t="s">
        <v>146</v>
      </c>
      <c r="B50" s="324" t="s">
        <v>128</v>
      </c>
      <c r="C50" s="412"/>
      <c r="D50" s="412"/>
      <c r="E50" s="412"/>
      <c r="F50" s="412"/>
      <c r="G50" s="412"/>
      <c r="H50" s="414"/>
      <c r="I50" s="331" t="str">
        <f t="shared" si="0"/>
        <v>Salaire net payé</v>
      </c>
      <c r="J50" s="324" t="s">
        <v>128</v>
      </c>
      <c r="K50" s="412"/>
      <c r="L50" s="412"/>
      <c r="M50" s="412"/>
      <c r="N50" s="412"/>
      <c r="O50" s="412"/>
      <c r="P50" s="414"/>
      <c r="Q50" s="305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2" t="s">
        <v>147</v>
      </c>
      <c r="B51" s="333" t="s">
        <v>128</v>
      </c>
      <c r="C51" s="326">
        <f>IF(C50=0,0,C50-C49)</f>
        <v>0</v>
      </c>
      <c r="D51" s="326">
        <f t="shared" ref="D51:H51" si="47">IF(D50=0,0,D50-D49)</f>
        <v>0</v>
      </c>
      <c r="E51" s="326">
        <f t="shared" si="47"/>
        <v>0</v>
      </c>
      <c r="F51" s="326">
        <f t="shared" si="47"/>
        <v>0</v>
      </c>
      <c r="G51" s="326">
        <f t="shared" si="47"/>
        <v>0</v>
      </c>
      <c r="H51" s="328">
        <f t="shared" si="47"/>
        <v>0</v>
      </c>
      <c r="I51" s="332" t="str">
        <f t="shared" si="0"/>
        <v>Différence</v>
      </c>
      <c r="J51" s="333" t="s">
        <v>128</v>
      </c>
      <c r="K51" s="326">
        <f t="shared" ref="K51:P51" si="48">IF(K50=0,0,K50-K49)</f>
        <v>0</v>
      </c>
      <c r="L51" s="326">
        <f t="shared" si="48"/>
        <v>0</v>
      </c>
      <c r="M51" s="326">
        <f t="shared" si="48"/>
        <v>0</v>
      </c>
      <c r="N51" s="326">
        <f t="shared" si="48"/>
        <v>0</v>
      </c>
      <c r="O51" s="326">
        <f t="shared" si="48"/>
        <v>0</v>
      </c>
      <c r="P51" s="328">
        <f t="shared" si="48"/>
        <v>0</v>
      </c>
      <c r="Q51" s="305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148</v>
      </c>
      <c r="B52" s="321"/>
      <c r="C52" s="448"/>
      <c r="D52" s="448"/>
      <c r="E52" s="448"/>
      <c r="F52" s="448"/>
      <c r="G52" s="448"/>
      <c r="H52" s="446"/>
      <c r="I52" s="71" t="str">
        <f t="shared" si="0"/>
        <v>Remarques</v>
      </c>
      <c r="J52" s="321"/>
      <c r="K52" s="448"/>
      <c r="L52" s="448"/>
      <c r="M52" s="448"/>
      <c r="N52" s="448"/>
      <c r="O52" s="450"/>
      <c r="P52" s="446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3"/>
      <c r="B53" s="273"/>
      <c r="C53" s="449"/>
      <c r="D53" s="449"/>
      <c r="E53" s="449"/>
      <c r="F53" s="449"/>
      <c r="G53" s="449"/>
      <c r="H53" s="447"/>
      <c r="I53" s="313"/>
      <c r="J53" s="273"/>
      <c r="K53" s="449"/>
      <c r="L53" s="449"/>
      <c r="M53" s="449"/>
      <c r="N53" s="449"/>
      <c r="O53" s="451"/>
      <c r="P53" s="447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4" t="s">
        <v>149</v>
      </c>
      <c r="B55" s="274"/>
      <c r="C55" s="85">
        <f t="shared" ref="C55:H55" si="50">C21</f>
        <v>45292</v>
      </c>
      <c r="D55" s="86">
        <f t="shared" si="50"/>
        <v>45323</v>
      </c>
      <c r="E55" s="86">
        <f t="shared" si="50"/>
        <v>45352</v>
      </c>
      <c r="F55" s="86">
        <f t="shared" si="50"/>
        <v>45383</v>
      </c>
      <c r="G55" s="86">
        <f t="shared" si="50"/>
        <v>45413</v>
      </c>
      <c r="H55" s="87">
        <f t="shared" si="50"/>
        <v>45444</v>
      </c>
      <c r="I55" s="314" t="str">
        <f>A55</f>
        <v>Données pour AssistMe:</v>
      </c>
      <c r="J55" s="274"/>
      <c r="K55" s="86">
        <f t="shared" ref="K55:P55" si="51">K21</f>
        <v>45474</v>
      </c>
      <c r="L55" s="86">
        <f t="shared" si="51"/>
        <v>45505</v>
      </c>
      <c r="M55" s="86">
        <f t="shared" si="51"/>
        <v>45536</v>
      </c>
      <c r="N55" s="88">
        <f t="shared" si="51"/>
        <v>45566</v>
      </c>
      <c r="O55" s="86">
        <f t="shared" si="51"/>
        <v>45597</v>
      </c>
      <c r="P55" s="87">
        <f t="shared" si="51"/>
        <v>45627</v>
      </c>
      <c r="Q55" s="224" t="s">
        <v>126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5" t="s">
        <v>150</v>
      </c>
      <c r="B56" s="275" t="s">
        <v>151</v>
      </c>
      <c r="C56" s="402" t="str">
        <f t="shared" ref="C56:H56" si="52">IF($C$16="Salaire horaire",IF($M$8="","",(C25*$P$10)+(C24*$P$7)+C26+C28+(C32+C33)/(IF($M$13&gt;1,((($M$8+$M$13)/2)),$M$8))),"Salaire mensuel")</f>
        <v>Salaire mensuel</v>
      </c>
      <c r="D56" s="402" t="str">
        <f t="shared" si="52"/>
        <v>Salaire mensuel</v>
      </c>
      <c r="E56" s="402" t="str">
        <f t="shared" si="52"/>
        <v>Salaire mensuel</v>
      </c>
      <c r="F56" s="402" t="str">
        <f t="shared" si="52"/>
        <v>Salaire mensuel</v>
      </c>
      <c r="G56" s="402" t="str">
        <f t="shared" si="52"/>
        <v>Salaire mensuel</v>
      </c>
      <c r="H56" s="287" t="str">
        <f t="shared" si="52"/>
        <v>Salaire mensuel</v>
      </c>
      <c r="I56" s="316" t="str">
        <f>A56</f>
        <v>Nombre d'heures</v>
      </c>
      <c r="J56" s="275" t="s">
        <v>151</v>
      </c>
      <c r="K56" s="402" t="str">
        <f t="shared" ref="K56:P56" si="53">IF($C$16="Salaire horaire",IF($M$8="","",(K25*$P$10)+(K24*$P$7)+K26+K28+(K32+K33)/(IF($M$13&gt;1,((($M$8+$M$13)/2)),$M$8))),"Salaire mensuel")</f>
        <v>Salaire mensuel</v>
      </c>
      <c r="L56" s="402" t="str">
        <f t="shared" si="53"/>
        <v>Salaire mensuel</v>
      </c>
      <c r="M56" s="402" t="str">
        <f t="shared" si="53"/>
        <v>Salaire mensuel</v>
      </c>
      <c r="N56" s="402" t="str">
        <f t="shared" si="53"/>
        <v>Salaire mensuel</v>
      </c>
      <c r="O56" s="402" t="str">
        <f t="shared" si="53"/>
        <v>Salaire mensuel</v>
      </c>
      <c r="P56" s="287" t="str">
        <f t="shared" si="53"/>
        <v>Salaire mensuel</v>
      </c>
      <c r="Q56" s="229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16" t="s">
        <v>145</v>
      </c>
      <c r="B57" s="276" t="s">
        <v>128</v>
      </c>
      <c r="C57" s="288">
        <f>C49-C48-C47-C46-C36-C35-C34-C31</f>
        <v>0</v>
      </c>
      <c r="D57" s="288">
        <f t="shared" ref="D57:H57" si="54">D49-D48-D47-D46-D36-D35-D34-D31</f>
        <v>0</v>
      </c>
      <c r="E57" s="288">
        <f t="shared" si="54"/>
        <v>0</v>
      </c>
      <c r="F57" s="288">
        <f t="shared" si="54"/>
        <v>0</v>
      </c>
      <c r="G57" s="288">
        <f t="shared" si="54"/>
        <v>0</v>
      </c>
      <c r="H57" s="287">
        <f t="shared" si="54"/>
        <v>0</v>
      </c>
      <c r="I57" s="316" t="str">
        <f>A57</f>
        <v>Salaire net</v>
      </c>
      <c r="J57" s="276" t="s">
        <v>128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297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17" t="s">
        <v>152</v>
      </c>
      <c r="B58" s="277" t="s">
        <v>128</v>
      </c>
      <c r="C58" s="289">
        <f>IF(C32&gt;0.1,C32-(C32*(SUM($T$8:$T$14)+$Y$9+$T$16))-(C32/IF(C39=0,1,C39)*-C44),IF(C32&lt;-0.1,C32-(C32*(SUM($T$8:$T$14)+$Y$9+$T$16))-(C32/IF(C39=0,1,C39)*-C44),0))</f>
        <v>0</v>
      </c>
      <c r="D58" s="289">
        <f t="shared" ref="D58:H58" si="56">IF(D32&gt;0.1,D32-(D32*(SUM($T$8:$T$14)+$Y$9+$T$16))-(D32/IF(D39=0,1,D39)*-D44),IF(D32&lt;-0.1,D32-(D32*(SUM($T$8:$T$14)+$Y$9+$T$16))-(D32/IF(D39=0,1,D39)*-D44),0))</f>
        <v>0</v>
      </c>
      <c r="E58" s="289">
        <f t="shared" si="56"/>
        <v>0</v>
      </c>
      <c r="F58" s="289">
        <f t="shared" si="56"/>
        <v>0</v>
      </c>
      <c r="G58" s="289">
        <f t="shared" si="56"/>
        <v>0</v>
      </c>
      <c r="H58" s="290">
        <f t="shared" si="56"/>
        <v>0</v>
      </c>
      <c r="I58" s="317" t="str">
        <f>A58</f>
        <v>Dont oblig. de verser le salaire (art. 324a CO)</v>
      </c>
      <c r="J58" s="277" t="s">
        <v>128</v>
      </c>
      <c r="K58" s="289">
        <f t="shared" ref="K58:P58" si="57">IF(K32&gt;0.1,K32-(K32*(SUM($T$8:$T$14)+$Y$9+$T$16))-(K32/IF(K39=0,1,K39)*-K44),IF(K32&lt;-0.1,K32-(K32*(SUM($T$8:$T$14)+$Y$9+$T$16))-(K32/IF(K39=0,1,K39)*-K44),0))</f>
        <v>0</v>
      </c>
      <c r="L58" s="289">
        <f t="shared" si="57"/>
        <v>0</v>
      </c>
      <c r="M58" s="289">
        <f t="shared" si="57"/>
        <v>0</v>
      </c>
      <c r="N58" s="289">
        <f t="shared" si="57"/>
        <v>0</v>
      </c>
      <c r="O58" s="289">
        <f t="shared" si="57"/>
        <v>0</v>
      </c>
      <c r="P58" s="290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18" t="str">
        <f>IF(G12="oui","Contribution d'assistance de l'AI","")</f>
        <v/>
      </c>
      <c r="B60" s="278"/>
      <c r="C60" s="219" t="str">
        <f t="shared" ref="C60:H60" si="58">IF($G$12="oui",C21,"")</f>
        <v/>
      </c>
      <c r="D60" s="219" t="str">
        <f t="shared" si="58"/>
        <v/>
      </c>
      <c r="E60" s="219" t="str">
        <f t="shared" si="58"/>
        <v/>
      </c>
      <c r="F60" s="219" t="str">
        <f t="shared" si="58"/>
        <v/>
      </c>
      <c r="G60" s="219" t="str">
        <f t="shared" si="58"/>
        <v/>
      </c>
      <c r="H60" s="220" t="str">
        <f t="shared" si="58"/>
        <v/>
      </c>
      <c r="I60" s="318" t="str">
        <f t="shared" ref="I60:I64" si="59">A60</f>
        <v/>
      </c>
      <c r="J60" s="278"/>
      <c r="K60" s="219" t="str">
        <f t="shared" ref="K60:P60" si="60">IF($G$12="oui",K21,"")</f>
        <v/>
      </c>
      <c r="L60" s="219" t="str">
        <f t="shared" si="60"/>
        <v/>
      </c>
      <c r="M60" s="219" t="str">
        <f t="shared" si="60"/>
        <v/>
      </c>
      <c r="N60" s="221" t="str">
        <f t="shared" si="60"/>
        <v/>
      </c>
      <c r="O60" s="219" t="str">
        <f t="shared" si="60"/>
        <v/>
      </c>
      <c r="P60" s="220" t="str">
        <f t="shared" si="60"/>
        <v/>
      </c>
      <c r="Q60" s="225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19" t="str">
        <f>IF(G12="oui","A) Nb. d'heures standard","")</f>
        <v/>
      </c>
      <c r="B61" s="279" t="str">
        <f>IF(G12="oui","h"," ")</f>
        <v xml:space="preserve"> </v>
      </c>
      <c r="C61" s="291" t="str">
        <f>IF($G$12="oui",(IF(DATEDIF($F$7,C$21,"Y")&lt;18,0,C26+C28)),"")</f>
        <v/>
      </c>
      <c r="D61" s="291" t="str">
        <f t="shared" ref="D61:H61" si="61">IF($G$12="oui",(IF(DATEDIF($F$7,D$21,"Y")&lt;18,0,D26+D28)),"")</f>
        <v/>
      </c>
      <c r="E61" s="291" t="str">
        <f t="shared" si="61"/>
        <v/>
      </c>
      <c r="F61" s="223" t="str">
        <f t="shared" si="61"/>
        <v/>
      </c>
      <c r="G61" s="223" t="str">
        <f t="shared" si="61"/>
        <v/>
      </c>
      <c r="H61" s="222" t="str">
        <f t="shared" si="61"/>
        <v/>
      </c>
      <c r="I61" s="320" t="str">
        <f t="shared" si="59"/>
        <v/>
      </c>
      <c r="J61" s="279" t="str">
        <f>B61</f>
        <v xml:space="preserve"> </v>
      </c>
      <c r="K61" s="223" t="str">
        <f t="shared" ref="K61:P61" si="62">IF($G$12="oui",(IF(DATEDIF($F$7,K$21,"Y")&lt;18,0,K26+K28)),"")</f>
        <v/>
      </c>
      <c r="L61" s="223" t="str">
        <f t="shared" si="62"/>
        <v/>
      </c>
      <c r="M61" s="223" t="str">
        <f t="shared" si="62"/>
        <v/>
      </c>
      <c r="N61" s="295" t="str">
        <f t="shared" si="62"/>
        <v/>
      </c>
      <c r="O61" s="223" t="str">
        <f t="shared" si="62"/>
        <v/>
      </c>
      <c r="P61" s="222" t="str">
        <f t="shared" si="62"/>
        <v/>
      </c>
      <c r="Q61" s="22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0" t="str">
        <f>IF(G12="oui","B) Nb. d'heures quali B","")</f>
        <v/>
      </c>
      <c r="B62" s="280" t="str">
        <f>IF(G12="oui","h"," ")</f>
        <v xml:space="preserve"> </v>
      </c>
      <c r="C62" s="291"/>
      <c r="D62" s="291"/>
      <c r="E62" s="291"/>
      <c r="F62" s="291"/>
      <c r="G62" s="291"/>
      <c r="H62" s="292"/>
      <c r="I62" s="320" t="str">
        <f t="shared" si="59"/>
        <v/>
      </c>
      <c r="J62" s="280" t="str">
        <f>B62</f>
        <v xml:space="preserve"> </v>
      </c>
      <c r="K62" s="223"/>
      <c r="L62" s="223"/>
      <c r="M62" s="223"/>
      <c r="N62" s="295"/>
      <c r="O62" s="223"/>
      <c r="P62" s="222"/>
      <c r="Q62" s="222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x14ac:dyDescent="0.2">
      <c r="A63" s="392" t="str">
        <f>IF($G$12="oui","C) Nb. d'engagements 
de nuit","")</f>
        <v/>
      </c>
      <c r="B63" s="393" t="str">
        <f>IF(G12="oui","Nb."," ")</f>
        <v xml:space="preserve"> </v>
      </c>
      <c r="C63" s="394" t="str">
        <f>IF($G$12="oui",(IF(DATEDIF($F$7,C$21,"Y")&lt;18,0,C25)),"")</f>
        <v/>
      </c>
      <c r="D63" s="394" t="str">
        <f t="shared" ref="D63:H63" si="63">IF($G$12="oui",(IF(DATEDIF($F$7,D$21,"Y")&lt;18,0,D25)),"")</f>
        <v/>
      </c>
      <c r="E63" s="394" t="str">
        <f t="shared" si="63"/>
        <v/>
      </c>
      <c r="F63" s="394" t="str">
        <f t="shared" si="63"/>
        <v/>
      </c>
      <c r="G63" s="394" t="str">
        <f t="shared" si="63"/>
        <v/>
      </c>
      <c r="H63" s="395" t="str">
        <f t="shared" si="63"/>
        <v/>
      </c>
      <c r="I63" s="392" t="str">
        <f t="shared" si="59"/>
        <v/>
      </c>
      <c r="J63" s="393" t="str">
        <f>B63</f>
        <v xml:space="preserve"> </v>
      </c>
      <c r="K63" s="394" t="str">
        <f t="shared" ref="K63:P63" si="64">IF($G$12="oui",(IF(DATEDIF($F$7,K$21,"Y")&lt;18,0,K25)),"")</f>
        <v/>
      </c>
      <c r="L63" s="394" t="str">
        <f t="shared" si="64"/>
        <v/>
      </c>
      <c r="M63" s="394" t="str">
        <f t="shared" si="64"/>
        <v/>
      </c>
      <c r="N63" s="396" t="str">
        <f t="shared" si="64"/>
        <v/>
      </c>
      <c r="O63" s="394" t="str">
        <f t="shared" si="64"/>
        <v/>
      </c>
      <c r="P63" s="395" t="str">
        <f t="shared" si="64"/>
        <v/>
      </c>
      <c r="Q63" s="397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1" customFormat="1" ht="15" customHeight="1" thickBot="1" x14ac:dyDescent="0.25">
      <c r="A64" s="433" t="str">
        <f>IF(G12="oui","Oblig. de verser le salaire","")</f>
        <v/>
      </c>
      <c r="B64" s="434"/>
      <c r="C64" s="293" t="str">
        <f>IF($G$12="oui",(IF(OR(C32&gt;0.1,C33&gt;0.1),"décompter","")),"")</f>
        <v/>
      </c>
      <c r="D64" s="293" t="str">
        <f t="shared" ref="D64:H64" si="65">IF($G$12="oui",(IF(OR(D32&gt;0.1,D33&gt;0.1),"décompter","")),"")</f>
        <v/>
      </c>
      <c r="E64" s="293" t="str">
        <f t="shared" si="65"/>
        <v/>
      </c>
      <c r="F64" s="293" t="str">
        <f t="shared" si="65"/>
        <v/>
      </c>
      <c r="G64" s="293" t="str">
        <f t="shared" si="65"/>
        <v/>
      </c>
      <c r="H64" s="294" t="str">
        <f t="shared" si="65"/>
        <v/>
      </c>
      <c r="I64" s="435" t="str">
        <f t="shared" si="59"/>
        <v/>
      </c>
      <c r="J64" s="434"/>
      <c r="K64" s="293" t="str">
        <f t="shared" ref="K64:P64" si="66">IF($G$12="oui",(IF(OR(K32&gt;0.1,K33&gt;0.1),"décompter","")),"")</f>
        <v/>
      </c>
      <c r="L64" s="293" t="str">
        <f t="shared" si="66"/>
        <v/>
      </c>
      <c r="M64" s="293" t="str">
        <f t="shared" si="66"/>
        <v/>
      </c>
      <c r="N64" s="296" t="str">
        <f t="shared" si="66"/>
        <v/>
      </c>
      <c r="O64" s="293" t="str">
        <f t="shared" si="66"/>
        <v/>
      </c>
      <c r="P64" s="294" t="str">
        <f t="shared" si="66"/>
        <v/>
      </c>
      <c r="Q64" s="227" t="str">
        <f>IF($G$12="oui",SUM(C64:H64)+SUM(K64:P64),"")</f>
        <v/>
      </c>
      <c r="R64" s="398"/>
      <c r="S64" s="398"/>
      <c r="T64" s="398"/>
      <c r="U64" s="398"/>
      <c r="V64" s="398"/>
      <c r="W64" s="399"/>
      <c r="X64" s="400"/>
      <c r="Y64" s="400"/>
      <c r="Z64" s="400"/>
      <c r="AA64" s="400"/>
      <c r="AB64" s="400"/>
      <c r="AC64" s="400"/>
      <c r="AD64" s="400"/>
      <c r="AE64" s="400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6"/>
      <c r="Y65" s="226"/>
      <c r="Z65" s="226"/>
      <c r="AA65" s="226"/>
      <c r="AB65" s="226"/>
      <c r="AC65" s="226"/>
      <c r="AD65" s="226"/>
      <c r="AE65" s="226"/>
    </row>
    <row r="66" spans="1:31" ht="15" customHeight="1" x14ac:dyDescent="0.2">
      <c r="S66" s="62"/>
      <c r="T66" s="62"/>
      <c r="U66" s="62"/>
    </row>
  </sheetData>
  <sheetProtection algorithmName="SHA-512" hashValue="XAtM3Nr6VTk+3EpTLptuzo/BuKP3YMhPvDRvgcP54p/Tzrh6HwcNR8RCIRb/S/3r07jXhnr9Ds+d3O/JW35LEQ==" saltValue="cYZfM/4myA7AKlKk0ynQ8Q==" spinCount="100000" sheet="1" objects="1" scenarios="1"/>
  <mergeCells count="48">
    <mergeCell ref="H52:H53"/>
    <mergeCell ref="C52:C53"/>
    <mergeCell ref="D52:D53"/>
    <mergeCell ref="E52:E53"/>
    <mergeCell ref="F52:F53"/>
    <mergeCell ref="G52:G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O52:O53"/>
    <mergeCell ref="P52:P53"/>
    <mergeCell ref="S24:U26"/>
    <mergeCell ref="S28:U30"/>
    <mergeCell ref="S31:U32"/>
    <mergeCell ref="S33:U35"/>
    <mergeCell ref="S36:U40"/>
    <mergeCell ref="S41:U43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183" priority="28" operator="beginsWith" text="Nom">
      <formula>LEFT(A25,LEN("Nom"))="Nom"</formula>
    </cfRule>
  </conditionalFormatting>
  <conditionalFormatting sqref="A26">
    <cfRule type="containsText" dxfId="182" priority="39" operator="containsText" text="Nombre d'heures">
      <formula>NOT(ISERROR(SEARCH("Nombre d'heures",A26)))</formula>
    </cfRule>
  </conditionalFormatting>
  <conditionalFormatting sqref="A28">
    <cfRule type="containsText" dxfId="181" priority="42" operator="containsText" text="Nombre d'heures II">
      <formula>NOT(ISERROR(SEARCH("Nombre d'heures II",A28)))</formula>
    </cfRule>
  </conditionalFormatting>
  <conditionalFormatting sqref="A24:B24">
    <cfRule type="expression" dxfId="180" priority="40">
      <formula>$G$11="oui"</formula>
    </cfRule>
  </conditionalFormatting>
  <conditionalFormatting sqref="A25:B25">
    <cfRule type="expression" dxfId="179" priority="31">
      <formula>$P$10&gt;0.1</formula>
    </cfRule>
  </conditionalFormatting>
  <conditionalFormatting sqref="A50:B50">
    <cfRule type="expression" dxfId="178" priority="218">
      <formula>$G$11="ja"</formula>
    </cfRule>
  </conditionalFormatting>
  <conditionalFormatting sqref="B25">
    <cfRule type="beginsWith" dxfId="177" priority="27" operator="beginsWith" text="Nb">
      <formula>LEFT(B25,LEN("Nb"))="Nb"</formula>
    </cfRule>
  </conditionalFormatting>
  <conditionalFormatting sqref="B26">
    <cfRule type="containsText" dxfId="176" priority="30" operator="containsText" text="h">
      <formula>NOT(ISERROR(SEARCH("h",B26)))</formula>
    </cfRule>
  </conditionalFormatting>
  <conditionalFormatting sqref="B28">
    <cfRule type="containsText" dxfId="175" priority="29" operator="containsText" text="h">
      <formula>NOT(ISERROR(SEARCH("h",B28)))</formula>
    </cfRule>
  </conditionalFormatting>
  <conditionalFormatting sqref="C17">
    <cfRule type="expression" dxfId="174" priority="54">
      <formula>$A$17="13ème salaire"</formula>
    </cfRule>
  </conditionalFormatting>
  <conditionalFormatting sqref="C22:H22">
    <cfRule type="cellIs" dxfId="173" priority="50" operator="greaterThan">
      <formula>1</formula>
    </cfRule>
  </conditionalFormatting>
  <conditionalFormatting sqref="C23:H23 K23:P23">
    <cfRule type="expression" dxfId="172" priority="17">
      <formula>$B$23="CHF"</formula>
    </cfRule>
  </conditionalFormatting>
  <conditionalFormatting sqref="C24:H24 K24:P24">
    <cfRule type="expression" dxfId="171" priority="36">
      <formula>$G$11="oui"</formula>
    </cfRule>
  </conditionalFormatting>
  <conditionalFormatting sqref="C25:H25 K25:P25">
    <cfRule type="expression" dxfId="170" priority="3">
      <formula>$B$25="Nb."</formula>
    </cfRule>
  </conditionalFormatting>
  <conditionalFormatting sqref="C26:H26">
    <cfRule type="expression" dxfId="169" priority="10">
      <formula>$G$12="oui"</formula>
    </cfRule>
    <cfRule type="expression" dxfId="168" priority="11">
      <formula>$C$16="Salaire horaire"</formula>
    </cfRule>
  </conditionalFormatting>
  <conditionalFormatting sqref="C28:H28 K28:P28">
    <cfRule type="expression" dxfId="167" priority="37">
      <formula>$G$10="oui"</formula>
    </cfRule>
  </conditionalFormatting>
  <conditionalFormatting sqref="C50:H50">
    <cfRule type="expression" dxfId="166" priority="192">
      <formula>C51&gt;0.01</formula>
    </cfRule>
    <cfRule type="expression" dxfId="165" priority="193">
      <formula>C51&lt;-0.01</formula>
    </cfRule>
  </conditionalFormatting>
  <conditionalFormatting sqref="C51:H51">
    <cfRule type="cellIs" dxfId="164" priority="206" operator="lessThan">
      <formula>-0.04</formula>
    </cfRule>
    <cfRule type="cellIs" dxfId="163" priority="207" operator="greaterThan">
      <formula>0.04</formula>
    </cfRule>
  </conditionalFormatting>
  <conditionalFormatting sqref="G1">
    <cfRule type="containsText" dxfId="162" priority="25" operator="containsText" text="Attention faute">
      <formula>NOT(ISERROR(SEARCH("Attention faute",G1)))</formula>
    </cfRule>
  </conditionalFormatting>
  <conditionalFormatting sqref="G10">
    <cfRule type="expression" dxfId="161" priority="18">
      <formula>$C$16="Salaire horaire"</formula>
    </cfRule>
  </conditionalFormatting>
  <conditionalFormatting sqref="H17:H18 S24">
    <cfRule type="beginsWith" dxfId="160" priority="46" operator="beginsWith" text="ATT">
      <formula>LEFT(H17,LEN("ATT"))="ATT"</formula>
    </cfRule>
  </conditionalFormatting>
  <conditionalFormatting sqref="I25">
    <cfRule type="beginsWith" dxfId="159" priority="5" operator="beginsWith" text="Nom">
      <formula>LEFT(I25,LEN("Nom"))="Nom"</formula>
    </cfRule>
  </conditionalFormatting>
  <conditionalFormatting sqref="I26">
    <cfRule type="containsText" dxfId="158" priority="22" operator="containsText" text="Nombre d'heures">
      <formula>NOT(ISERROR(SEARCH("Nombre d'heures",I26)))</formula>
    </cfRule>
  </conditionalFormatting>
  <conditionalFormatting sqref="I28">
    <cfRule type="containsText" dxfId="157" priority="24" operator="containsText" text="Nombre d'heures II">
      <formula>NOT(ISERROR(SEARCH("Nombre d'heures II",I28)))</formula>
    </cfRule>
  </conditionalFormatting>
  <conditionalFormatting sqref="I24:J24">
    <cfRule type="expression" dxfId="156" priority="23">
      <formula>$G$11="oui"</formula>
    </cfRule>
  </conditionalFormatting>
  <conditionalFormatting sqref="I25:J25">
    <cfRule type="expression" dxfId="155" priority="6">
      <formula>$P$10&gt;0.1</formula>
    </cfRule>
  </conditionalFormatting>
  <conditionalFormatting sqref="I50:J50">
    <cfRule type="expression" dxfId="154" priority="170">
      <formula>$G$11="ja"</formula>
    </cfRule>
  </conditionalFormatting>
  <conditionalFormatting sqref="J25">
    <cfRule type="beginsWith" dxfId="153" priority="4" operator="beginsWith" text="Nb">
      <formula>LEFT(J25,LEN("Nb"))="Nb"</formula>
    </cfRule>
  </conditionalFormatting>
  <conditionalFormatting sqref="J26">
    <cfRule type="containsText" dxfId="152" priority="21" operator="containsText" text="h">
      <formula>NOT(ISERROR(SEARCH("h",J26)))</formula>
    </cfRule>
  </conditionalFormatting>
  <conditionalFormatting sqref="J28">
    <cfRule type="containsText" dxfId="151" priority="20" operator="containsText" text="h">
      <formula>NOT(ISERROR(SEARCH("h",J28)))</formula>
    </cfRule>
  </conditionalFormatting>
  <conditionalFormatting sqref="K22:P22">
    <cfRule type="cellIs" dxfId="150" priority="51" operator="greaterThan">
      <formula>1</formula>
    </cfRule>
  </conditionalFormatting>
  <conditionalFormatting sqref="K26:P26">
    <cfRule type="expression" dxfId="149" priority="34">
      <formula>$G$12="oui"</formula>
    </cfRule>
    <cfRule type="expression" dxfId="148" priority="35">
      <formula>$C$16="Salaire horaire"</formula>
    </cfRule>
  </conditionalFormatting>
  <conditionalFormatting sqref="K50:P50">
    <cfRule type="expression" dxfId="147" priority="180">
      <formula>K51&gt;0.01</formula>
    </cfRule>
    <cfRule type="expression" dxfId="146" priority="181">
      <formula>K51&lt;-0.01</formula>
    </cfRule>
  </conditionalFormatting>
  <conditionalFormatting sqref="K51:P51">
    <cfRule type="cellIs" dxfId="145" priority="202" operator="lessThan">
      <formula>-0.04</formula>
    </cfRule>
    <cfRule type="cellIs" dxfId="144" priority="203" operator="greaterThan">
      <formula>0.04</formula>
    </cfRule>
  </conditionalFormatting>
  <conditionalFormatting sqref="L7">
    <cfRule type="expression" dxfId="143" priority="33">
      <formula>$C$16="à choisir"</formula>
    </cfRule>
  </conditionalFormatting>
  <conditionalFormatting sqref="L12">
    <cfRule type="expression" dxfId="142" priority="43">
      <formula>$G$10="oui"</formula>
    </cfRule>
  </conditionalFormatting>
  <conditionalFormatting sqref="M8">
    <cfRule type="expression" dxfId="141" priority="32">
      <formula>$C$16="Salaire horaire"</formula>
    </cfRule>
    <cfRule type="expression" dxfId="140" priority="26">
      <formula>$C$16="salaire mensuel"</formula>
    </cfRule>
  </conditionalFormatting>
  <conditionalFormatting sqref="M13">
    <cfRule type="expression" dxfId="139" priority="38">
      <formula>$G$10="oui"</formula>
    </cfRule>
  </conditionalFormatting>
  <conditionalFormatting sqref="P1">
    <cfRule type="containsText" dxfId="138" priority="19" operator="containsText" text="Attention faute">
      <formula>NOT(ISERROR(SEARCH("Attention faute",P1)))</formula>
    </cfRule>
  </conditionalFormatting>
  <conditionalFormatting sqref="P7">
    <cfRule type="expression" dxfId="137" priority="41">
      <formula>$Q$7="du Sal.horaire"</formula>
    </cfRule>
  </conditionalFormatting>
  <conditionalFormatting sqref="P10">
    <cfRule type="expression" dxfId="136" priority="44">
      <formula>$Q$10="heures"</formula>
    </cfRule>
  </conditionalFormatting>
  <conditionalFormatting sqref="S20">
    <cfRule type="beginsWith" dxfId="135" priority="8" operator="beginsWith" text="Rema">
      <formula>LEFT(S20,LEN("Rema"))="Rema"</formula>
    </cfRule>
    <cfRule type="beginsWith" dxfId="134" priority="7" operator="beginsWith" text="Ni">
      <formula>LEFT(S20,LEN("Ni"))="Ni"</formula>
    </cfRule>
    <cfRule type="beginsWith" dxfId="133" priority="9" operator="beginsWith" text="La">
      <formula>LEFT(S20,LEN("La"))="La"</formula>
    </cfRule>
  </conditionalFormatting>
  <conditionalFormatting sqref="S28">
    <cfRule type="beginsWith" dxfId="132" priority="45" operator="beginsWith" text="ATT">
      <formula>LEFT(S28,LEN("ATT"))="ATT"</formula>
    </cfRule>
  </conditionalFormatting>
  <conditionalFormatting sqref="S36:S37">
    <cfRule type="beginsWith" dxfId="131" priority="102" operator="beginsWith" text="Att">
      <formula>LEFT(S36,LEN("Att"))="Att"</formula>
    </cfRule>
  </conditionalFormatting>
  <conditionalFormatting sqref="A64:Q64">
    <cfRule type="expression" dxfId="130" priority="1">
      <formula>$G$12="non"</formula>
    </cfRule>
  </conditionalFormatting>
  <conditionalFormatting sqref="A60:Q63">
    <cfRule type="expression" dxfId="129" priority="2">
      <formula>$G$12="non"</formula>
    </cfRule>
  </conditionalFormatting>
  <dataValidations count="7">
    <dataValidation type="list" allowBlank="1" showInputMessage="1" showErrorMessage="1" sqref="G10" xr:uid="{00000000-0002-0000-0700-000001000000}">
      <formula1>$AC$13:$AC$14</formula1>
    </dataValidation>
    <dataValidation type="list" allowBlank="1" showInputMessage="1" showErrorMessage="1" sqref="C17" xr:uid="{00000000-0002-0000-0700-000002000000}">
      <formula1>$Y$11:$Y$12</formula1>
    </dataValidation>
    <dataValidation type="list" allowBlank="1" showInputMessage="1" showErrorMessage="1" sqref="C10" xr:uid="{5D25AA4E-9CC0-4625-B61A-3DF39FCEFA43}">
      <formula1>$X$6:$X$8</formula1>
    </dataValidation>
    <dataValidation type="list" allowBlank="1" showInputMessage="1" showErrorMessage="1" sqref="F9:G9" xr:uid="{00000000-0002-0000-0700-000000000000}">
      <formula1>$AB$6:$AB$19</formula1>
    </dataValidation>
    <dataValidation type="list" allowBlank="1" showInputMessage="1" showErrorMessage="1" sqref="C16" xr:uid="{C5C33122-6CB2-45DA-AD5C-9F0B61797D39}">
      <formula1>$X$11:$X$13</formula1>
    </dataValidation>
    <dataValidation type="list" allowBlank="1" showInputMessage="1" showErrorMessage="1" sqref="G13" xr:uid="{45ED1074-6A7E-49C1-B859-E3C02B0D0190}">
      <formula1>$Y$6:$Y$8</formula1>
    </dataValidation>
    <dataValidation type="list" allowBlank="1" showInputMessage="1" showErrorMessage="1" sqref="G11:G12" xr:uid="{7829A54E-601B-4874-AFC8-E5A8CD6FFDA7}">
      <formula1>$AH$6:$AH$8</formula1>
    </dataValidation>
  </dataValidations>
  <hyperlinks>
    <hyperlink ref="G1:H3" location="Fehler1" display="Fehler1" xr:uid="{4587F9BC-F508-45A4-8209-4B14DE06E729}"/>
    <hyperlink ref="P1:Q3" location="Fehler1" display="Fehler1" xr:uid="{BF1CFE1F-2513-479F-B34F-15B9E9D57568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7.0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BD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19.7109375" style="1" customWidth="1"/>
    <col min="10" max="10" width="4.5703125" style="1" bestFit="1" customWidth="1"/>
    <col min="11" max="16" width="12.28515625" style="1" customWidth="1"/>
    <col min="17" max="17" width="13.28515625" style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hidden="1" customWidth="1"/>
    <col min="38" max="16384" width="11.42578125" style="1"/>
  </cols>
  <sheetData>
    <row r="1" spans="1:35" ht="12.75" customHeight="1" x14ac:dyDescent="0.2">
      <c r="A1" s="443" t="str">
        <f>'PA 1'!A1:C1</f>
        <v>Nom/Prénom employeur</v>
      </c>
      <c r="B1" s="443"/>
      <c r="C1" s="443"/>
      <c r="D1" s="453">
        <v>45657</v>
      </c>
      <c r="E1" s="453"/>
      <c r="F1" s="453"/>
      <c r="G1" s="444" t="str">
        <f>IF($W45&gt;4,"Attention erreur!",IF($W$45&gt;0,"Attention remarque!",""))</f>
        <v/>
      </c>
      <c r="H1" s="444"/>
      <c r="I1" s="460" t="str">
        <f>A1</f>
        <v>Nom/Prénom employeur</v>
      </c>
      <c r="J1" s="460"/>
      <c r="K1" s="460"/>
      <c r="L1" s="453">
        <f>D1</f>
        <v>45657</v>
      </c>
      <c r="M1" s="453"/>
      <c r="N1" s="453"/>
      <c r="O1" s="453"/>
      <c r="P1" s="444" t="str">
        <f>IF($W45&gt;4,"Attention erreur!",IF($W$45&gt;0,"Attention remarque!",""))</f>
        <v/>
      </c>
      <c r="Q1" s="444"/>
      <c r="S1" s="246" t="s">
        <v>47</v>
      </c>
      <c r="T1" s="260"/>
      <c r="U1" s="361" t="s">
        <v>48</v>
      </c>
      <c r="V1" s="362" t="s">
        <v>49</v>
      </c>
      <c r="W1" s="68"/>
      <c r="AE1" s="1"/>
    </row>
    <row r="2" spans="1:35" ht="12.75" customHeight="1" x14ac:dyDescent="0.2">
      <c r="A2" s="443" t="str">
        <f>'PA 1'!A2:C2</f>
        <v>Lieu employeur</v>
      </c>
      <c r="B2" s="443"/>
      <c r="C2" s="443"/>
      <c r="D2" s="453"/>
      <c r="E2" s="453"/>
      <c r="F2" s="453"/>
      <c r="G2" s="444"/>
      <c r="H2" s="444"/>
      <c r="I2" s="460" t="str">
        <f>A2</f>
        <v>Lieu employeur</v>
      </c>
      <c r="J2" s="460"/>
      <c r="K2" s="460"/>
      <c r="L2" s="453"/>
      <c r="M2" s="453"/>
      <c r="N2" s="453"/>
      <c r="O2" s="453"/>
      <c r="P2" s="444"/>
      <c r="Q2" s="444"/>
      <c r="S2" s="249" t="s">
        <v>51</v>
      </c>
      <c r="T2" s="2"/>
      <c r="U2" s="218">
        <f>IF(C16="Salaire horaire",(M8*M7*52)+(M13*M12*52),(M8+Y13)*12)</f>
        <v>0</v>
      </c>
      <c r="V2" s="261"/>
      <c r="W2" s="68"/>
      <c r="Y2" s="466" t="s">
        <v>52</v>
      </c>
      <c r="AA2" s="466" t="s">
        <v>53</v>
      </c>
      <c r="AE2" s="1"/>
    </row>
    <row r="3" spans="1:35" ht="5.0999999999999996" customHeight="1" x14ac:dyDescent="0.2">
      <c r="G3" s="444"/>
      <c r="H3" s="444"/>
      <c r="P3" s="444"/>
      <c r="Q3" s="444"/>
      <c r="S3" s="254"/>
      <c r="V3" s="250"/>
      <c r="W3" s="68"/>
      <c r="Y3" s="466"/>
      <c r="AA3" s="466"/>
      <c r="AE3" s="1"/>
    </row>
    <row r="4" spans="1:35" ht="15.75" customHeight="1" thickBot="1" x14ac:dyDescent="0.3">
      <c r="A4" s="41" t="s">
        <v>54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0" t="s">
        <v>55</v>
      </c>
      <c r="J4" s="360"/>
      <c r="K4" s="360"/>
      <c r="L4" s="360"/>
      <c r="M4" s="42"/>
      <c r="N4" s="42"/>
      <c r="O4" s="42"/>
      <c r="P4" s="42"/>
      <c r="Q4" s="51" t="str">
        <f>CONCATENATE($C$6," ",$C$7)</f>
        <v xml:space="preserve"> </v>
      </c>
      <c r="S4" s="454" t="s">
        <v>56</v>
      </c>
      <c r="T4" s="455"/>
      <c r="U4" s="262">
        <f>((U2-(U2*SUM(T8:T14,T16,Y9)+(12*T15)))*Z14)</f>
        <v>0</v>
      </c>
      <c r="V4" s="263">
        <f>U4/365</f>
        <v>0</v>
      </c>
      <c r="W4" s="68"/>
      <c r="X4" s="464" t="s">
        <v>57</v>
      </c>
      <c r="Y4" s="466"/>
      <c r="Z4" s="464" t="s">
        <v>58</v>
      </c>
      <c r="AA4" s="466"/>
      <c r="AB4" s="467" t="s">
        <v>59</v>
      </c>
      <c r="AC4" s="468" t="s">
        <v>60</v>
      </c>
      <c r="AD4" s="465" t="s">
        <v>61</v>
      </c>
      <c r="AE4" s="1"/>
      <c r="AH4" s="464" t="s">
        <v>62</v>
      </c>
      <c r="AI4" s="464"/>
    </row>
    <row r="5" spans="1:35" ht="5.0999999999999996" customHeight="1" x14ac:dyDescent="0.2">
      <c r="X5" s="464"/>
      <c r="Y5" s="466"/>
      <c r="Z5" s="464"/>
      <c r="AA5" s="466"/>
      <c r="AB5" s="467"/>
      <c r="AC5" s="468"/>
      <c r="AD5" s="465"/>
      <c r="AE5" s="2"/>
      <c r="AF5" s="4"/>
      <c r="AG5" s="48"/>
      <c r="AH5" s="464"/>
      <c r="AI5" s="464"/>
    </row>
    <row r="6" spans="1:35" s="2" customFormat="1" ht="13.5" thickBot="1" x14ac:dyDescent="0.25">
      <c r="A6" s="2" t="s">
        <v>63</v>
      </c>
      <c r="C6" s="452"/>
      <c r="D6" s="452"/>
      <c r="E6" s="2" t="s">
        <v>64</v>
      </c>
      <c r="F6" s="445"/>
      <c r="G6" s="445"/>
      <c r="I6" s="6" t="s">
        <v>65</v>
      </c>
      <c r="N6" s="6" t="str">
        <f>IF(AND(C16="Salaire horaire",G11="oui"),"Calcul de l'indemnité les heures de garde","")</f>
        <v/>
      </c>
      <c r="W6" s="180"/>
      <c r="X6" s="2" t="s">
        <v>66</v>
      </c>
      <c r="Y6" s="2" t="s">
        <v>66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28" t="s">
        <v>66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67</v>
      </c>
      <c r="AG6" s="49"/>
      <c r="AH6" s="2" t="s">
        <v>66</v>
      </c>
    </row>
    <row r="7" spans="1:35" s="2" customFormat="1" x14ac:dyDescent="0.2">
      <c r="A7" s="2" t="s">
        <v>68</v>
      </c>
      <c r="C7" s="452"/>
      <c r="D7" s="452"/>
      <c r="E7" s="2" t="s">
        <v>69</v>
      </c>
      <c r="F7" s="445"/>
      <c r="G7" s="445"/>
      <c r="I7" s="2" t="str">
        <f>IF(C16="Salaire horaire",IF(G10="oui","Taux d'occupation I","Taux d'occupation"),IF(C16="Salaire mensuel","Taux d'occupation",""))</f>
        <v/>
      </c>
      <c r="L7" s="406"/>
      <c r="M7" s="371">
        <f>42*L7</f>
        <v>0</v>
      </c>
      <c r="N7" s="2" t="str">
        <f>IF(AND(C16="Salaire horaire",G11="oui"),"1 heure de garde =","")</f>
        <v/>
      </c>
      <c r="P7" s="304"/>
      <c r="Q7" s="2" t="str">
        <f>IF(AND(C16="Salaire horaire",G11="oui"),"du Sal.horaire","")</f>
        <v/>
      </c>
      <c r="S7" s="246" t="s">
        <v>70</v>
      </c>
      <c r="T7" s="247" t="s">
        <v>71</v>
      </c>
      <c r="U7" s="248"/>
      <c r="W7" s="1"/>
      <c r="X7" s="2" t="s">
        <v>72</v>
      </c>
      <c r="Y7" s="2" t="s">
        <v>73</v>
      </c>
      <c r="Z7" s="59" t="str">
        <f>IF(OR(G13="ordinaire",G13="à choisir"),"ordinaire","")</f>
        <v>ordinaire</v>
      </c>
      <c r="AA7" s="59"/>
      <c r="AB7" s="59" t="s">
        <v>74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75</v>
      </c>
      <c r="AG7" s="49">
        <f>IF(C16="Salaire horaire",(M7*52/12)*12*M8,(M8)*12)</f>
        <v>0</v>
      </c>
      <c r="AH7" s="2" t="s">
        <v>76</v>
      </c>
    </row>
    <row r="8" spans="1:35" s="2" customFormat="1" ht="12" customHeight="1" x14ac:dyDescent="0.2">
      <c r="A8" s="2" t="s">
        <v>77</v>
      </c>
      <c r="C8" s="452"/>
      <c r="D8" s="452"/>
      <c r="E8" s="2" t="s">
        <v>78</v>
      </c>
      <c r="F8" s="452"/>
      <c r="G8" s="452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5"/>
      <c r="S8" s="249" t="s">
        <v>79</v>
      </c>
      <c r="T8" s="251">
        <f>IF(F7="",0,IF(DATEDIF($F$7,D1,"Y")&lt;18,0,5.3%))</f>
        <v>0</v>
      </c>
      <c r="U8" s="250"/>
      <c r="W8" s="152"/>
      <c r="X8" s="2" t="s">
        <v>80</v>
      </c>
      <c r="Y8" s="59" t="s">
        <v>81</v>
      </c>
      <c r="Z8" s="59"/>
      <c r="AB8" s="59" t="s">
        <v>82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83</v>
      </c>
    </row>
    <row r="9" spans="1:35" s="2" customFormat="1" x14ac:dyDescent="0.2">
      <c r="A9" s="2" t="s">
        <v>84</v>
      </c>
      <c r="C9" s="452"/>
      <c r="D9" s="452"/>
      <c r="E9" s="2" t="s">
        <v>85</v>
      </c>
      <c r="F9" s="456" t="s">
        <v>66</v>
      </c>
      <c r="G9" s="456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3" t="str">
        <f>IF($C$16="Salaire horaire",M8/(1+L9)*L9,"")</f>
        <v/>
      </c>
      <c r="N9" s="6" t="str">
        <f>IF(C16="Salaire horaire","Conversion des engagements de nuit en heures","")</f>
        <v/>
      </c>
      <c r="S9" s="249" t="s">
        <v>86</v>
      </c>
      <c r="T9" s="251">
        <f>IF(DATEDIF($F$7,D1,"Y")&lt;18,0,IF(DATEDIF($F$7,C21,"Y")&gt;(IF($C$10="féminin",63,64)),0,1.1%))</f>
        <v>0</v>
      </c>
      <c r="U9" s="252"/>
      <c r="W9" s="181"/>
      <c r="Y9" s="75">
        <f>IF(G13="à choisir",0,IF(AND(Z6="simplifiée",'PA 1'!Z6="simplifiée",'PA 2'!Z6="simplifiée",'PA 3'!Z6="simplifiée",'PA 5'!Z6="simplifiée",'PA 6'!Z6="simplifiée",'PA 7'!Z6="simplifiée",'PA 4'!Z6="simplifiée",'PA 9'!Z6="simplifiée"),IF(DATEDIF($F$7,D21,"Y")&lt;17,0%,5%),0%))</f>
        <v>0</v>
      </c>
      <c r="Z9" s="59"/>
      <c r="AB9" s="59" t="s">
        <v>87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88</v>
      </c>
      <c r="C10" s="405" t="s">
        <v>66</v>
      </c>
      <c r="E10" s="2" t="str">
        <f>IF(C16="Salaire horaire","Avez-vous 2 différents sal. horaire?","")</f>
        <v/>
      </c>
      <c r="G10" s="427"/>
      <c r="H10" s="168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4" t="str">
        <f>IF($C$16="Salaire horaire",M8-M9,"")</f>
        <v/>
      </c>
      <c r="N10" s="2" t="str">
        <f>IF(C16="Salaire horaire","1 nuit correspond à","")</f>
        <v/>
      </c>
      <c r="P10" s="264"/>
      <c r="Q10" s="2" t="str">
        <f>IF(C16="Salaire horaire","heures","")</f>
        <v/>
      </c>
      <c r="S10" s="249"/>
      <c r="T10" s="251"/>
      <c r="U10" s="252"/>
      <c r="W10" s="1"/>
      <c r="X10" s="6" t="s">
        <v>89</v>
      </c>
      <c r="Y10" s="6" t="s">
        <v>90</v>
      </c>
      <c r="Z10" s="64" t="s">
        <v>91</v>
      </c>
      <c r="AB10" s="59" t="s">
        <v>92</v>
      </c>
      <c r="AD10" s="59" t="e">
        <f>ROUND(M8/L7,0)</f>
        <v>#DIV/0!</v>
      </c>
    </row>
    <row r="11" spans="1:35" s="2" customFormat="1" ht="13.5" customHeight="1" x14ac:dyDescent="0.2">
      <c r="A11" s="2" t="s">
        <v>93</v>
      </c>
      <c r="C11" s="405"/>
      <c r="E11" s="2" t="s">
        <v>94</v>
      </c>
      <c r="G11" s="405" t="s">
        <v>66</v>
      </c>
      <c r="S11" s="249" t="s">
        <v>95</v>
      </c>
      <c r="T11" s="407"/>
      <c r="U11" s="253" t="s">
        <v>96</v>
      </c>
      <c r="W11" s="1"/>
      <c r="X11" s="2" t="s">
        <v>66</v>
      </c>
      <c r="Y11" s="2" t="str">
        <f>IF(C16="Salaire mensuel","oui","")</f>
        <v/>
      </c>
      <c r="Z11" s="179">
        <f>IF(G13="simplifiée",126.8%,0)</f>
        <v>0</v>
      </c>
      <c r="AB11" s="59" t="s">
        <v>97</v>
      </c>
      <c r="AD11" s="59"/>
    </row>
    <row r="12" spans="1:35" s="2" customFormat="1" ht="13.5" customHeight="1" x14ac:dyDescent="0.2">
      <c r="A12" s="2" t="s">
        <v>98</v>
      </c>
      <c r="C12" s="405"/>
      <c r="E12" s="2" t="s">
        <v>99</v>
      </c>
      <c r="G12" s="405" t="s">
        <v>66</v>
      </c>
      <c r="I12" s="2" t="str">
        <f>IF(G10="oui","Taux d'occupation II","")</f>
        <v/>
      </c>
      <c r="L12" s="217"/>
      <c r="M12" s="242">
        <f>42*L12</f>
        <v>0</v>
      </c>
      <c r="S12" s="249"/>
      <c r="T12" s="1"/>
      <c r="U12" s="250"/>
      <c r="W12" s="1"/>
      <c r="X12" s="2" t="s">
        <v>100</v>
      </c>
      <c r="Y12" s="2" t="str">
        <f>IF(C16="Salaire mensuel","non","")</f>
        <v/>
      </c>
      <c r="Z12" s="179">
        <f>IF(AND(G13="ordinaire",T15=0,T16=0),119.9%,0)</f>
        <v>0</v>
      </c>
      <c r="AA12" s="59"/>
      <c r="AB12" s="59" t="s">
        <v>101</v>
      </c>
      <c r="AC12" s="64" t="s">
        <v>102</v>
      </c>
      <c r="AD12" s="59"/>
    </row>
    <row r="13" spans="1:35" s="2" customFormat="1" ht="12.75" customHeight="1" x14ac:dyDescent="0.2">
      <c r="A13" s="2" t="s">
        <v>103</v>
      </c>
      <c r="C13" s="405"/>
      <c r="E13" s="2" t="s">
        <v>104</v>
      </c>
      <c r="G13" s="405" t="s">
        <v>66</v>
      </c>
      <c r="I13" s="5" t="str">
        <f>IF(G10="oui","Salaire horaire II (avec Suppl. vacances)","")</f>
        <v/>
      </c>
      <c r="L13" s="4"/>
      <c r="M13" s="245"/>
      <c r="S13" s="249" t="s">
        <v>105</v>
      </c>
      <c r="T13" s="408"/>
      <c r="U13" s="253" t="s">
        <v>96</v>
      </c>
      <c r="W13" s="68"/>
      <c r="X13" s="2" t="s">
        <v>106</v>
      </c>
      <c r="Y13" s="2">
        <f>IF(C17="oui",M8/12,0)</f>
        <v>0</v>
      </c>
      <c r="Z13" s="179">
        <f>IF(OR(T15&gt;0,T16&gt;0),129.2%,0)</f>
        <v>0</v>
      </c>
      <c r="AA13" s="59"/>
      <c r="AB13" s="59" t="s">
        <v>107</v>
      </c>
      <c r="AC13" s="59" t="s">
        <v>76</v>
      </c>
      <c r="AD13" s="59"/>
    </row>
    <row r="14" spans="1:35" s="2" customFormat="1" ht="12.75" customHeight="1" x14ac:dyDescent="0.2">
      <c r="A14" s="2" t="s">
        <v>108</v>
      </c>
      <c r="C14" s="409"/>
      <c r="E14" s="2" t="s">
        <v>109</v>
      </c>
      <c r="F14" s="452"/>
      <c r="G14" s="452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3" t="str">
        <f>IF(G10="oui",M13/(1+L14)*L14,"")</f>
        <v/>
      </c>
      <c r="S14" s="254"/>
      <c r="T14" s="1"/>
      <c r="U14" s="250"/>
      <c r="W14" s="68"/>
      <c r="Y14" s="151">
        <f>M8</f>
        <v>0</v>
      </c>
      <c r="Z14" s="179">
        <f>SUM(Z11:Z13)</f>
        <v>0</v>
      </c>
      <c r="AA14" s="59"/>
      <c r="AB14" s="58" t="s">
        <v>110</v>
      </c>
      <c r="AC14" s="59" t="s">
        <v>83</v>
      </c>
      <c r="AD14" s="59"/>
    </row>
    <row r="15" spans="1:35" s="2" customFormat="1" ht="12.75" customHeight="1" x14ac:dyDescent="0.2">
      <c r="A15" s="2" t="s">
        <v>111</v>
      </c>
      <c r="C15" s="409"/>
      <c r="E15" s="2" t="s">
        <v>112</v>
      </c>
      <c r="F15" s="452"/>
      <c r="G15" s="452"/>
      <c r="I15" s="5" t="str">
        <f>IF(G10="oui","Salaire horaire II (sans Suppl. vacances)","")</f>
        <v/>
      </c>
      <c r="M15" s="244" t="str">
        <f>IF(G10="oui",M13-M14,"")</f>
        <v/>
      </c>
      <c r="S15" s="249" t="s">
        <v>113</v>
      </c>
      <c r="T15" s="410"/>
      <c r="U15" s="255" t="s">
        <v>114</v>
      </c>
      <c r="W15" s="1"/>
      <c r="Y15" s="2">
        <f>SUM(Y13:Y14)</f>
        <v>0</v>
      </c>
      <c r="Z15" s="59"/>
      <c r="AA15" s="59"/>
      <c r="AB15" s="59" t="s">
        <v>115</v>
      </c>
      <c r="AD15" s="59"/>
    </row>
    <row r="16" spans="1:35" s="2" customFormat="1" ht="12.75" customHeight="1" thickBot="1" x14ac:dyDescent="0.25">
      <c r="A16" s="2" t="s">
        <v>116</v>
      </c>
      <c r="C16" s="405" t="s">
        <v>66</v>
      </c>
      <c r="E16" s="2" t="s">
        <v>117</v>
      </c>
      <c r="F16" s="452"/>
      <c r="G16" s="452"/>
      <c r="S16" s="256" t="s">
        <v>118</v>
      </c>
      <c r="T16" s="411"/>
      <c r="U16" s="257" t="s">
        <v>119</v>
      </c>
      <c r="W16" s="1"/>
      <c r="Z16" s="59"/>
      <c r="AA16" s="59"/>
      <c r="AB16" s="58" t="s">
        <v>120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27"/>
      <c r="D17" s="168" t="str">
        <f>IF(C17&gt;1,"",IF(A17="13ème salaire","à choisir",""))</f>
        <v/>
      </c>
      <c r="H17" s="167"/>
      <c r="W17" s="1"/>
      <c r="X17" s="59"/>
      <c r="Y17" s="59"/>
      <c r="Z17" s="59"/>
      <c r="AA17" s="59"/>
      <c r="AB17" s="59" t="s">
        <v>121</v>
      </c>
      <c r="AC17" s="59"/>
      <c r="AD17" s="59"/>
    </row>
    <row r="18" spans="1:37" s="2" customFormat="1" x14ac:dyDescent="0.2">
      <c r="H18" s="167"/>
      <c r="M18" s="167"/>
      <c r="S18" s="469" t="s">
        <v>122</v>
      </c>
      <c r="T18" s="470"/>
      <c r="U18" s="471"/>
      <c r="V18" s="334"/>
      <c r="X18" s="153"/>
      <c r="Y18" s="154"/>
      <c r="Z18" s="59"/>
      <c r="AA18" s="59"/>
      <c r="AB18" s="2" t="s">
        <v>123</v>
      </c>
      <c r="AD18" s="59"/>
      <c r="AE18" s="59"/>
    </row>
    <row r="19" spans="1:37" s="2" customFormat="1" ht="15" x14ac:dyDescent="0.25">
      <c r="A19" s="41" t="s">
        <v>124</v>
      </c>
      <c r="B19" s="41"/>
      <c r="C19" s="52"/>
      <c r="D19" s="52"/>
      <c r="E19" s="52"/>
      <c r="F19" s="52"/>
      <c r="G19" s="52"/>
      <c r="H19" s="52"/>
      <c r="I19" s="41" t="s">
        <v>124</v>
      </c>
      <c r="J19" s="41"/>
      <c r="K19" s="52"/>
      <c r="L19" s="52"/>
      <c r="M19" s="52"/>
      <c r="N19" s="52"/>
      <c r="O19" s="52"/>
      <c r="P19" s="52"/>
      <c r="Q19" s="52"/>
      <c r="S19" s="258"/>
      <c r="U19" s="259"/>
      <c r="X19" s="153"/>
      <c r="Y19" s="154"/>
      <c r="Z19" s="59"/>
      <c r="AA19" s="59"/>
      <c r="AB19" s="59" t="s">
        <v>125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2"/>
      <c r="U20" s="463"/>
      <c r="V20" s="404"/>
      <c r="X20" s="153"/>
      <c r="Y20" s="154"/>
      <c r="Z20" s="59"/>
      <c r="AA20" s="59"/>
      <c r="AB20" s="59"/>
      <c r="AD20" s="59"/>
      <c r="AE20" s="59"/>
    </row>
    <row r="21" spans="1:37" s="2" customFormat="1" ht="12" x14ac:dyDescent="0.2">
      <c r="A21" s="306">
        <f>D1</f>
        <v>45657</v>
      </c>
      <c r="B21" s="265"/>
      <c r="C21" s="82">
        <v>45292</v>
      </c>
      <c r="D21" s="82">
        <v>45323</v>
      </c>
      <c r="E21" s="82">
        <v>45352</v>
      </c>
      <c r="F21" s="82">
        <v>45383</v>
      </c>
      <c r="G21" s="82">
        <v>45413</v>
      </c>
      <c r="H21" s="69">
        <v>45444</v>
      </c>
      <c r="I21" s="306">
        <f t="shared" ref="I21:I52" si="0">A21</f>
        <v>45657</v>
      </c>
      <c r="J21" s="265"/>
      <c r="K21" s="82">
        <v>45474</v>
      </c>
      <c r="L21" s="82">
        <v>45505</v>
      </c>
      <c r="M21" s="82">
        <v>45536</v>
      </c>
      <c r="N21" s="82">
        <v>45566</v>
      </c>
      <c r="O21" s="82">
        <v>45597</v>
      </c>
      <c r="P21" s="69">
        <v>45627</v>
      </c>
      <c r="Q21" s="97" t="s">
        <v>126</v>
      </c>
      <c r="S21" s="461"/>
      <c r="T21" s="462"/>
      <c r="U21" s="463"/>
      <c r="V21" s="404"/>
      <c r="W21" s="2">
        <f>IF(S20="Hinweis: Wenn der AHV Freibetrag nicht überschritten wird, muss ein Lohnausweis erstellt werden!",1,IF(S20=0,0,5))</f>
        <v>0</v>
      </c>
      <c r="X21" s="153"/>
      <c r="Y21" s="154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07" t="str">
        <f>IF($C$16="Salaire horaire","",IF(C16="à choisir","","Salaire mensuel"))</f>
        <v/>
      </c>
      <c r="B22" s="266" t="str">
        <f>IF(A22="Salaire mensuel","CHF"," ")</f>
        <v xml:space="preserve"> </v>
      </c>
      <c r="C22" s="281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1">
        <f t="shared" si="1"/>
        <v>0</v>
      </c>
      <c r="E22" s="281">
        <f t="shared" si="1"/>
        <v>0</v>
      </c>
      <c r="F22" s="281">
        <f t="shared" si="1"/>
        <v>0</v>
      </c>
      <c r="G22" s="281">
        <f t="shared" si="1"/>
        <v>0</v>
      </c>
      <c r="H22" s="282">
        <f t="shared" si="1"/>
        <v>0</v>
      </c>
      <c r="I22" s="308" t="str">
        <f t="shared" si="0"/>
        <v/>
      </c>
      <c r="J22" s="266" t="str">
        <f>IF(I22="Salaire mensuel","CHF"," ")</f>
        <v xml:space="preserve"> </v>
      </c>
      <c r="K22" s="281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2">
        <f t="shared" si="2"/>
        <v>0</v>
      </c>
      <c r="Q22" s="298">
        <f t="shared" ref="Q22:Q37" si="3">ROUND((SUM(C22:H22)+SUM(K22:P22))*20,0)/20</f>
        <v>0</v>
      </c>
      <c r="S22" s="461"/>
      <c r="T22" s="462"/>
      <c r="U22" s="463"/>
      <c r="V22" s="404"/>
      <c r="X22" s="153"/>
      <c r="Y22" s="154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07" t="str">
        <f>IF($C$16="Salaire horaire","",(IF($C$17="oui","13. Salaire mensuel","")))</f>
        <v/>
      </c>
      <c r="B23" s="266" t="str">
        <f>IF(A23="13. Salaire mensuel","CHF"," ")</f>
        <v xml:space="preserve"> </v>
      </c>
      <c r="C23" s="281">
        <f>IF(OR($C$16="Salaire horaire",$C$16="à choisir"),0,(IF($C$17="oui",(C$22+C32+C33)/12,"")))</f>
        <v>0</v>
      </c>
      <c r="D23" s="283">
        <f t="shared" ref="D23:H23" si="4">IF(OR($C$16="Salaire horaire",$C$16="à choisir"),0,(IF($C$17="oui",(D$22+D32+D33)/12,"")))</f>
        <v>0</v>
      </c>
      <c r="E23" s="283">
        <f t="shared" si="4"/>
        <v>0</v>
      </c>
      <c r="F23" s="283">
        <f t="shared" si="4"/>
        <v>0</v>
      </c>
      <c r="G23" s="283">
        <f t="shared" si="4"/>
        <v>0</v>
      </c>
      <c r="H23" s="282">
        <f t="shared" si="4"/>
        <v>0</v>
      </c>
      <c r="I23" s="308" t="str">
        <f t="shared" si="0"/>
        <v/>
      </c>
      <c r="J23" s="266" t="str">
        <f>IF(I23="13. Salaire mensuel","CHF"," ")</f>
        <v xml:space="preserve"> </v>
      </c>
      <c r="K23" s="283">
        <f t="shared" ref="K23:P23" si="5">IF(OR($C$16="Salaire horaire",$C$16="à choisir"),0,(IF($C$17="oui",(K$22+K32+K33)/12,"")))</f>
        <v>0</v>
      </c>
      <c r="L23" s="283">
        <f t="shared" si="5"/>
        <v>0</v>
      </c>
      <c r="M23" s="283">
        <f t="shared" si="5"/>
        <v>0</v>
      </c>
      <c r="N23" s="299">
        <f t="shared" si="5"/>
        <v>0</v>
      </c>
      <c r="O23" s="283">
        <f t="shared" si="5"/>
        <v>0</v>
      </c>
      <c r="P23" s="282">
        <f t="shared" si="5"/>
        <v>0</v>
      </c>
      <c r="Q23" s="236">
        <f t="shared" si="3"/>
        <v>0</v>
      </c>
      <c r="S23" s="258"/>
      <c r="U23" s="259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0" t="str">
        <f>IF(G11="oui","Nombre d'heures 
de garde","")</f>
        <v/>
      </c>
      <c r="B24" s="369" t="str">
        <f>IF(A24="Nombre d'heures 
de garde","h"," ")</f>
        <v xml:space="preserve"> </v>
      </c>
      <c r="C24" s="283"/>
      <c r="D24" s="283"/>
      <c r="E24" s="283"/>
      <c r="F24" s="283"/>
      <c r="G24" s="283"/>
      <c r="H24" s="282"/>
      <c r="I24" s="370" t="str">
        <f t="shared" si="0"/>
        <v/>
      </c>
      <c r="J24" s="369" t="str">
        <f>B24</f>
        <v xml:space="preserve"> </v>
      </c>
      <c r="K24" s="283"/>
      <c r="L24" s="283"/>
      <c r="M24" s="283"/>
      <c r="N24" s="283"/>
      <c r="O24" s="283"/>
      <c r="P24" s="282"/>
      <c r="Q24" s="300">
        <f t="shared" si="3"/>
        <v>0</v>
      </c>
      <c r="S24" s="461">
        <f>IF(OR(AND(Z6="simplifiée",'PA 1'!Z6="simplifiée",'PA 3'!Z6="simplifiée",'PA 4'!Z6="simplifiée",'PA 5'!Z6="simplifiée",'PA 6'!Z6="simplifiée",'PA 7'!Z6="simplifiée",'PA 2'!Z6="simplifiée",'PA 9'!Z6="simplifiée"),(AND(Z7="ordinaire",'PA 1'!Z7="ordinaire",'PA 3'!Z7="ordinaire",'PA 4'!Z7="ordinaire",'PA 5'!Z7="ordinaire",'PA 6'!Z7="ordinaire",'PA 7'!Z7="ordinaire",'PA 2'!Z7="ordinaire",'PA 9'!Z7="ordinaire"))),0,"ATTENTION: la même procédure de décompte AVS doit être utilisée pour tous les prestataires d’assistance!")</f>
        <v>0</v>
      </c>
      <c r="T24" s="462"/>
      <c r="U24" s="463"/>
      <c r="V24" s="404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0" t="str">
        <f>IF(AND(C16="Salaire mensuel",G12="oui"),"Nombre d'engagements de nuit",IF(P10&gt;0.1,"Nombre d'engagements de nuit",""))</f>
        <v/>
      </c>
      <c r="B25" s="266" t="str">
        <f>IF(A25="Nombre d'engagements de nuit","Nb."," ")</f>
        <v xml:space="preserve"> </v>
      </c>
      <c r="C25" s="284"/>
      <c r="D25" s="284"/>
      <c r="E25" s="284"/>
      <c r="F25" s="284"/>
      <c r="G25" s="284"/>
      <c r="H25" s="285"/>
      <c r="I25" s="370" t="str">
        <f t="shared" si="0"/>
        <v/>
      </c>
      <c r="J25" s="266" t="str">
        <f>B25</f>
        <v xml:space="preserve"> </v>
      </c>
      <c r="K25" s="284"/>
      <c r="L25" s="284"/>
      <c r="M25" s="284"/>
      <c r="N25" s="284"/>
      <c r="O25" s="284"/>
      <c r="P25" s="301"/>
      <c r="Q25" s="298">
        <f t="shared" si="3"/>
        <v>0</v>
      </c>
      <c r="R25" s="76"/>
      <c r="S25" s="461"/>
      <c r="T25" s="462"/>
      <c r="U25" s="463"/>
      <c r="V25" s="404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08" t="str">
        <f>IF(AND($C$16="Salaire mensuel",$G$12="oui"),"Nombre d'heures",IF(C16="Salaire horaire",IF(G10="oui","Nombre d'heures I","Nombre d'heures"),""))</f>
        <v/>
      </c>
      <c r="B26" s="267" t="str">
        <f>IF(OR(A26="Nombre d'heures Standard",A26="Nombre d'heures",A26="Nombre d'heures I"),"h"," ")</f>
        <v xml:space="preserve"> </v>
      </c>
      <c r="C26" s="283"/>
      <c r="D26" s="283"/>
      <c r="E26" s="283"/>
      <c r="F26" s="283"/>
      <c r="G26" s="283"/>
      <c r="H26" s="282"/>
      <c r="I26" s="308" t="str">
        <f t="shared" si="0"/>
        <v/>
      </c>
      <c r="J26" s="267" t="str">
        <f>IF(OR(I26="Nombre d'heures Standard",I26="Nombre d'heures",I26="Nombre d'heures I"),"h"," ")</f>
        <v xml:space="preserve"> </v>
      </c>
      <c r="K26" s="283"/>
      <c r="L26" s="283"/>
      <c r="M26" s="283"/>
      <c r="N26" s="283"/>
      <c r="O26" s="283"/>
      <c r="P26" s="282"/>
      <c r="Q26" s="300">
        <f t="shared" si="3"/>
        <v>0</v>
      </c>
      <c r="R26" s="76"/>
      <c r="S26" s="461"/>
      <c r="T26" s="462"/>
      <c r="U26" s="463"/>
      <c r="V26" s="404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08" t="str">
        <f>IF($C$16="Salaire horaire",IF(G10="oui","Salaire horaire I","Salaire horaire"),"")</f>
        <v/>
      </c>
      <c r="B27" s="266" t="str">
        <f>IF(OR(A27="Salaire horaire Standard",A27="Salaire horaire",A27="Salaire horaire I"),"CHF"," ")</f>
        <v xml:space="preserve"> </v>
      </c>
      <c r="C27" s="233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3" t="str">
        <f t="shared" si="6"/>
        <v/>
      </c>
      <c r="E27" s="233" t="str">
        <f t="shared" si="6"/>
        <v/>
      </c>
      <c r="F27" s="233" t="str">
        <f t="shared" si="6"/>
        <v/>
      </c>
      <c r="G27" s="233" t="str">
        <f t="shared" si="6"/>
        <v/>
      </c>
      <c r="H27" s="234" t="str">
        <f t="shared" si="6"/>
        <v/>
      </c>
      <c r="I27" s="308" t="str">
        <f t="shared" si="0"/>
        <v/>
      </c>
      <c r="J27" s="266" t="str">
        <f>IF(OR(I27="Salaire horaire Standard",I27="Salaire horaire",I27="Salaire horaire I"),"CHF"," ")</f>
        <v xml:space="preserve"> </v>
      </c>
      <c r="K27" s="233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3" t="str">
        <f t="shared" si="7"/>
        <v/>
      </c>
      <c r="M27" s="233" t="str">
        <f t="shared" si="7"/>
        <v/>
      </c>
      <c r="N27" s="233" t="str">
        <f t="shared" si="7"/>
        <v/>
      </c>
      <c r="O27" s="233" t="str">
        <f t="shared" si="7"/>
        <v/>
      </c>
      <c r="P27" s="234" t="str">
        <f t="shared" si="7"/>
        <v/>
      </c>
      <c r="Q27" s="300">
        <f t="shared" si="3"/>
        <v>0</v>
      </c>
      <c r="R27" s="76"/>
      <c r="S27" s="258"/>
      <c r="T27" s="2"/>
      <c r="U27" s="259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08" t="str">
        <f>IF(G10="oui","Nombre d'heures II","")</f>
        <v/>
      </c>
      <c r="B28" s="267" t="str">
        <f>IF(OR(A28="Nombre d'heures Quali B",A28="Nombre d'heures II"),"h"," ")</f>
        <v xml:space="preserve"> </v>
      </c>
      <c r="C28" s="283"/>
      <c r="D28" s="283"/>
      <c r="E28" s="283"/>
      <c r="F28" s="283"/>
      <c r="G28" s="283"/>
      <c r="H28" s="282"/>
      <c r="I28" s="308" t="str">
        <f t="shared" si="0"/>
        <v/>
      </c>
      <c r="J28" s="267" t="str">
        <f>IF(OR(I28="Nombre d'heures Quali B",I28="Nombre d'heures II"),"h"," ")</f>
        <v xml:space="preserve"> </v>
      </c>
      <c r="K28" s="283"/>
      <c r="L28" s="283"/>
      <c r="M28" s="283"/>
      <c r="N28" s="299"/>
      <c r="O28" s="283"/>
      <c r="P28" s="282"/>
      <c r="Q28" s="300">
        <f t="shared" si="3"/>
        <v>0</v>
      </c>
      <c r="R28" s="78"/>
      <c r="S28" s="461">
        <f>IF(AND(AC6="oui",(G12="oui")),"ATTENTION: le salaire des proches ne doit pas réglé au contributin d'assistance AI",0)</f>
        <v>0</v>
      </c>
      <c r="T28" s="462"/>
      <c r="U28" s="463"/>
      <c r="V28" s="404"/>
      <c r="W28" s="78"/>
      <c r="X28" s="101"/>
      <c r="Y28" s="98"/>
    </row>
    <row r="29" spans="1:37" s="6" customFormat="1" x14ac:dyDescent="0.2">
      <c r="A29" s="308" t="str">
        <f>IF(G10="oui","Salaire horaire II","")</f>
        <v/>
      </c>
      <c r="B29" s="266" t="str">
        <f>IF(OR(A29="Salaire horaire Quali B",A29="Salaire horaire II"),"CHF"," ")</f>
        <v xml:space="preserve"> </v>
      </c>
      <c r="C29" s="233" t="str">
        <f t="shared" ref="C29:H29" si="8">IF($C$16="Salaire horaire",(IF(OR((DATEDIF($F$7,C21,"Y")&lt;20),(DATEDIF($F$7,C21,"Y")&gt;49)),$M$13/110.64%*(C28),$M$13/108.33%*(C28))),"")</f>
        <v/>
      </c>
      <c r="D29" s="233" t="str">
        <f t="shared" si="8"/>
        <v/>
      </c>
      <c r="E29" s="233" t="str">
        <f t="shared" si="8"/>
        <v/>
      </c>
      <c r="F29" s="233" t="str">
        <f t="shared" si="8"/>
        <v/>
      </c>
      <c r="G29" s="233" t="str">
        <f t="shared" si="8"/>
        <v/>
      </c>
      <c r="H29" s="234" t="str">
        <f t="shared" si="8"/>
        <v/>
      </c>
      <c r="I29" s="308" t="str">
        <f t="shared" si="0"/>
        <v/>
      </c>
      <c r="J29" s="266" t="str">
        <f>IF(OR(I29="Salaire horaire Quali B",I29="Salaire horaire II"),"CHF"," ")</f>
        <v xml:space="preserve"> </v>
      </c>
      <c r="K29" s="233" t="str">
        <f t="shared" ref="K29:P29" si="9">IF($C$16="Salaire horaire",(IF(OR((DATEDIF($F$7,K21,"Y")&lt;20),(DATEDIF($F$7,K21,"Y")&gt;49)),$M$13/110.64%*(K28),$M$13/108.33%*(K28))),"")</f>
        <v/>
      </c>
      <c r="L29" s="233" t="str">
        <f t="shared" si="9"/>
        <v/>
      </c>
      <c r="M29" s="233" t="str">
        <f t="shared" si="9"/>
        <v/>
      </c>
      <c r="N29" s="233" t="str">
        <f t="shared" si="9"/>
        <v/>
      </c>
      <c r="O29" s="233" t="str">
        <f t="shared" si="9"/>
        <v/>
      </c>
      <c r="P29" s="234" t="str">
        <f t="shared" si="9"/>
        <v/>
      </c>
      <c r="Q29" s="300">
        <f t="shared" si="3"/>
        <v>0</v>
      </c>
      <c r="R29" s="65"/>
      <c r="S29" s="461"/>
      <c r="T29" s="462"/>
      <c r="U29" s="463"/>
      <c r="V29" s="404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08" t="str">
        <f>IF($C$16="Salaire horaire","Supplément de vacances","")</f>
        <v/>
      </c>
      <c r="B30" s="266" t="str">
        <f>IF(A30="Supplément de vacances","CHF"," ")</f>
        <v xml:space="preserve"> </v>
      </c>
      <c r="C30" s="233">
        <f t="shared" ref="C30:H30" si="10">IF($C$16="Salaire horaire",(ROUND(IF(OR((DATEDIF($F$7,C$21,"Y")&lt;20),(DATEDIF($F$7,C$21,"Y")&gt;49)),(C$27+C$29)*10.64%,(C$27+C$29)*8.33%),2)),)</f>
        <v>0</v>
      </c>
      <c r="D30" s="233">
        <f t="shared" si="10"/>
        <v>0</v>
      </c>
      <c r="E30" s="233">
        <f t="shared" si="10"/>
        <v>0</v>
      </c>
      <c r="F30" s="233">
        <f t="shared" si="10"/>
        <v>0</v>
      </c>
      <c r="G30" s="233">
        <f t="shared" si="10"/>
        <v>0</v>
      </c>
      <c r="H30" s="234">
        <f t="shared" si="10"/>
        <v>0</v>
      </c>
      <c r="I30" s="308" t="str">
        <f t="shared" si="0"/>
        <v/>
      </c>
      <c r="J30" s="266" t="str">
        <f>IF(I30="Supplément de vacances","CHF"," ")</f>
        <v xml:space="preserve"> </v>
      </c>
      <c r="K30" s="233">
        <f t="shared" ref="K30:P30" si="11">IF($C$16="Salaire horaire",(ROUND(IF(OR((DATEDIF($F$7,K$21,"Y")&lt;20),(DATEDIF($F$7,K$21,"Y")&gt;49)),(K$27+K$29)*10.64%,(K$27+K$29)*8.33%),2)),)</f>
        <v>0</v>
      </c>
      <c r="L30" s="233">
        <f t="shared" si="11"/>
        <v>0</v>
      </c>
      <c r="M30" s="233">
        <f t="shared" si="11"/>
        <v>0</v>
      </c>
      <c r="N30" s="233">
        <f t="shared" si="11"/>
        <v>0</v>
      </c>
      <c r="O30" s="233">
        <f t="shared" si="11"/>
        <v>0</v>
      </c>
      <c r="P30" s="234">
        <f t="shared" si="11"/>
        <v>0</v>
      </c>
      <c r="Q30" s="300">
        <f t="shared" si="3"/>
        <v>0</v>
      </c>
      <c r="R30" s="65"/>
      <c r="S30" s="461"/>
      <c r="T30" s="462"/>
      <c r="U30" s="463"/>
      <c r="V30" s="404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09" t="s">
        <v>127</v>
      </c>
      <c r="B31" s="267" t="s">
        <v>128</v>
      </c>
      <c r="C31" s="412"/>
      <c r="D31" s="413"/>
      <c r="E31" s="413"/>
      <c r="F31" s="413"/>
      <c r="G31" s="413"/>
      <c r="H31" s="414"/>
      <c r="I31" s="309" t="str">
        <f t="shared" si="0"/>
        <v>Repas &amp; logement</v>
      </c>
      <c r="J31" s="267" t="s">
        <v>128</v>
      </c>
      <c r="K31" s="412"/>
      <c r="L31" s="412"/>
      <c r="M31" s="412"/>
      <c r="N31" s="412"/>
      <c r="O31" s="412"/>
      <c r="P31" s="414"/>
      <c r="Q31" s="83">
        <f t="shared" si="3"/>
        <v>0</v>
      </c>
      <c r="R31" s="65"/>
      <c r="S31" s="457">
        <f>IF(AND(M7+M12&gt;8,T11=0),"Remarque: à partir de 8 heures de travail effectives par semaine, l’employé doit avoir souscrit une assurance-accidents non professionnels!",0)</f>
        <v>0</v>
      </c>
      <c r="T31" s="458"/>
      <c r="U31" s="459"/>
      <c r="V31" s="403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09" t="s">
        <v>129</v>
      </c>
      <c r="B32" s="268" t="s">
        <v>128</v>
      </c>
      <c r="C32" s="412"/>
      <c r="D32" s="413"/>
      <c r="E32" s="413"/>
      <c r="F32" s="413"/>
      <c r="G32" s="413"/>
      <c r="H32" s="415"/>
      <c r="I32" s="309" t="str">
        <f t="shared" si="0"/>
        <v>Oblig. de verser le salaire (art. 324a CO) (soumis à l'AVS)</v>
      </c>
      <c r="J32" s="268" t="s">
        <v>128</v>
      </c>
      <c r="K32" s="413"/>
      <c r="L32" s="413"/>
      <c r="M32" s="413"/>
      <c r="N32" s="416"/>
      <c r="O32" s="413"/>
      <c r="P32" s="415"/>
      <c r="Q32" s="70">
        <f t="shared" si="3"/>
        <v>0</v>
      </c>
      <c r="R32" s="65"/>
      <c r="S32" s="457"/>
      <c r="T32" s="458"/>
      <c r="U32" s="459"/>
      <c r="V32" s="403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09" t="s">
        <v>130</v>
      </c>
      <c r="B33" s="268" t="s">
        <v>128</v>
      </c>
      <c r="C33" s="412"/>
      <c r="D33" s="413"/>
      <c r="E33" s="413"/>
      <c r="F33" s="413"/>
      <c r="G33" s="413"/>
      <c r="H33" s="415"/>
      <c r="I33" s="309" t="str">
        <f t="shared" si="0"/>
        <v>Oblig. de verser le salaire
(soumis à l'AVS)</v>
      </c>
      <c r="J33" s="268" t="s">
        <v>128</v>
      </c>
      <c r="K33" s="413"/>
      <c r="L33" s="413"/>
      <c r="M33" s="413"/>
      <c r="N33" s="416"/>
      <c r="O33" s="413"/>
      <c r="P33" s="415"/>
      <c r="Q33" s="70">
        <f t="shared" si="3"/>
        <v>0</v>
      </c>
      <c r="R33" s="65"/>
      <c r="S33" s="457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8"/>
      <c r="U33" s="459"/>
      <c r="V33" s="403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36" x14ac:dyDescent="0.2">
      <c r="A34" s="310" t="s">
        <v>131</v>
      </c>
      <c r="B34" s="269" t="s">
        <v>128</v>
      </c>
      <c r="C34" s="412"/>
      <c r="D34" s="413"/>
      <c r="E34" s="413"/>
      <c r="F34" s="413"/>
      <c r="G34" s="413"/>
      <c r="H34" s="415"/>
      <c r="I34" s="310" t="str">
        <f t="shared" si="0"/>
        <v>Allocation maternité / militaire (soumis à l'AVS)</v>
      </c>
      <c r="J34" s="269" t="s">
        <v>128</v>
      </c>
      <c r="K34" s="413"/>
      <c r="L34" s="413"/>
      <c r="M34" s="413"/>
      <c r="N34" s="416"/>
      <c r="O34" s="413"/>
      <c r="P34" s="415"/>
      <c r="Q34" s="70">
        <f t="shared" si="3"/>
        <v>0</v>
      </c>
      <c r="R34" s="57"/>
      <c r="S34" s="457"/>
      <c r="T34" s="458"/>
      <c r="U34" s="459"/>
      <c r="V34" s="403"/>
      <c r="W34" s="2">
        <f>IF(S33&gt;1,1,0)</f>
        <v>0</v>
      </c>
      <c r="X34" s="101"/>
      <c r="Y34" s="110">
        <f t="shared" ref="Y34:AD34" si="12">C21</f>
        <v>45292</v>
      </c>
      <c r="Z34" s="110">
        <f t="shared" si="12"/>
        <v>45323</v>
      </c>
      <c r="AA34" s="110">
        <f t="shared" si="12"/>
        <v>45352</v>
      </c>
      <c r="AB34" s="110">
        <f t="shared" si="12"/>
        <v>45383</v>
      </c>
      <c r="AC34" s="110">
        <f t="shared" si="12"/>
        <v>45413</v>
      </c>
      <c r="AD34" s="110">
        <f t="shared" si="12"/>
        <v>45444</v>
      </c>
      <c r="AE34" s="110">
        <f t="shared" ref="AE34:AJ34" si="13">K21</f>
        <v>45474</v>
      </c>
      <c r="AF34" s="110">
        <f t="shared" si="13"/>
        <v>45505</v>
      </c>
      <c r="AG34" s="110">
        <f t="shared" si="13"/>
        <v>45536</v>
      </c>
      <c r="AH34" s="110">
        <f t="shared" si="13"/>
        <v>45566</v>
      </c>
      <c r="AI34" s="110">
        <f t="shared" si="13"/>
        <v>45597</v>
      </c>
      <c r="AJ34" s="110">
        <f t="shared" si="13"/>
        <v>45627</v>
      </c>
    </row>
    <row r="35" spans="1:37" s="2" customFormat="1" ht="24" x14ac:dyDescent="0.2">
      <c r="A35" s="310" t="s">
        <v>132</v>
      </c>
      <c r="B35" s="269" t="s">
        <v>128</v>
      </c>
      <c r="C35" s="412"/>
      <c r="D35" s="413"/>
      <c r="E35" s="413"/>
      <c r="F35" s="413"/>
      <c r="G35" s="413"/>
      <c r="H35" s="415"/>
      <c r="I35" s="310" t="str">
        <f t="shared" si="0"/>
        <v>Indemnité d'assurance
(non soumis AVS)</v>
      </c>
      <c r="J35" s="269" t="s">
        <v>128</v>
      </c>
      <c r="K35" s="413"/>
      <c r="L35" s="413"/>
      <c r="M35" s="413"/>
      <c r="N35" s="416"/>
      <c r="O35" s="413"/>
      <c r="P35" s="415"/>
      <c r="Q35" s="70">
        <f t="shared" si="3"/>
        <v>0</v>
      </c>
      <c r="R35" s="57"/>
      <c r="S35" s="457"/>
      <c r="T35" s="458"/>
      <c r="U35" s="459"/>
      <c r="V35" s="403"/>
      <c r="W35" s="57"/>
      <c r="X35" s="101" t="s">
        <v>133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08" t="s">
        <v>134</v>
      </c>
      <c r="B36" s="267" t="s">
        <v>128</v>
      </c>
      <c r="C36" s="412"/>
      <c r="D36" s="413"/>
      <c r="E36" s="413"/>
      <c r="F36" s="413"/>
      <c r="G36" s="413"/>
      <c r="H36" s="415"/>
      <c r="I36" s="308" t="str">
        <f t="shared" si="0"/>
        <v>Allocations familiales</v>
      </c>
      <c r="J36" s="267" t="s">
        <v>128</v>
      </c>
      <c r="K36" s="413"/>
      <c r="L36" s="413"/>
      <c r="M36" s="413"/>
      <c r="N36" s="416"/>
      <c r="O36" s="413"/>
      <c r="P36" s="415"/>
      <c r="Q36" s="70">
        <f t="shared" si="3"/>
        <v>0</v>
      </c>
      <c r="R36" s="57"/>
      <c r="S36" s="457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8"/>
      <c r="U36" s="459"/>
      <c r="V36" s="403"/>
      <c r="W36" s="57"/>
      <c r="X36" s="105" t="s">
        <v>135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1" t="s">
        <v>136</v>
      </c>
      <c r="B37" s="270" t="s">
        <v>128</v>
      </c>
      <c r="C37" s="286">
        <f t="shared" ref="C37:H37" si="17">IF($C$16="Salaire horaire",SUM(C27,C29,C30,C31,C32,C33,C34,C35,C36),SUM(C22,C23,C30,C31,C32,C33,C34,C35,C36))</f>
        <v>0</v>
      </c>
      <c r="D37" s="286">
        <f t="shared" si="17"/>
        <v>0</v>
      </c>
      <c r="E37" s="286">
        <f t="shared" si="17"/>
        <v>0</v>
      </c>
      <c r="F37" s="286">
        <f t="shared" si="17"/>
        <v>0</v>
      </c>
      <c r="G37" s="286">
        <f t="shared" si="17"/>
        <v>0</v>
      </c>
      <c r="H37" s="238">
        <f t="shared" si="17"/>
        <v>0</v>
      </c>
      <c r="I37" s="311" t="str">
        <f t="shared" si="0"/>
        <v>Salaire brut</v>
      </c>
      <c r="J37" s="270" t="s">
        <v>128</v>
      </c>
      <c r="K37" s="286">
        <f t="shared" ref="K37:P37" si="18">IF($C$16="Salaire horaire",SUM(K27,K29,K30,K31,K32,K33,K34,K35,K36),SUM(K22,K23,K30,K31,K32,K33,K34,K35,K36))</f>
        <v>0</v>
      </c>
      <c r="L37" s="286">
        <f t="shared" si="18"/>
        <v>0</v>
      </c>
      <c r="M37" s="286">
        <f t="shared" si="18"/>
        <v>0</v>
      </c>
      <c r="N37" s="302">
        <f t="shared" si="18"/>
        <v>0</v>
      </c>
      <c r="O37" s="286">
        <f t="shared" si="18"/>
        <v>0</v>
      </c>
      <c r="P37" s="238">
        <f t="shared" si="18"/>
        <v>0</v>
      </c>
      <c r="Q37" s="238">
        <f t="shared" si="3"/>
        <v>0</v>
      </c>
      <c r="R37" s="57"/>
      <c r="S37" s="457"/>
      <c r="T37" s="458"/>
      <c r="U37" s="459"/>
      <c r="V37" s="403"/>
      <c r="W37" s="2">
        <f>IF(S36&gt;1,5,0)</f>
        <v>0</v>
      </c>
      <c r="X37" s="101" t="s">
        <v>137</v>
      </c>
      <c r="Y37" s="163">
        <f t="shared" ref="Y37:AD37" si="19">IF(Y35=0,0,IF($C$16="Salaire horaire",SUM(C27,C29,C30,C31,C32,C33,C34),SUM(C22,C23,C30,C31,C32,C33,C34)))</f>
        <v>0</v>
      </c>
      <c r="Z37" s="163">
        <f t="shared" si="19"/>
        <v>0</v>
      </c>
      <c r="AA37" s="163">
        <f t="shared" si="19"/>
        <v>0</v>
      </c>
      <c r="AB37" s="163">
        <f t="shared" si="19"/>
        <v>0</v>
      </c>
      <c r="AC37" s="163">
        <f t="shared" si="19"/>
        <v>0</v>
      </c>
      <c r="AD37" s="163">
        <f t="shared" si="19"/>
        <v>0</v>
      </c>
      <c r="AE37" s="163">
        <f t="shared" ref="AE37:AJ37" si="20">IF(AE35=0,0,IF($C$16="Salaire horaire",SUM(K27,K29,K30,K31,K32,K33,K34),SUM(K22,K23,K30,K31,K32,K33,K34)))</f>
        <v>0</v>
      </c>
      <c r="AF37" s="163">
        <f t="shared" si="20"/>
        <v>0</v>
      </c>
      <c r="AG37" s="163">
        <f t="shared" si="20"/>
        <v>0</v>
      </c>
      <c r="AH37" s="163">
        <f t="shared" si="20"/>
        <v>0</v>
      </c>
      <c r="AI37" s="163">
        <f t="shared" si="20"/>
        <v>0</v>
      </c>
      <c r="AJ37" s="163">
        <f t="shared" si="20"/>
        <v>0</v>
      </c>
    </row>
    <row r="38" spans="1:37" s="2" customFormat="1" ht="12" x14ac:dyDescent="0.2">
      <c r="A38" s="308" t="s">
        <v>138</v>
      </c>
      <c r="B38" s="271" t="s">
        <v>128</v>
      </c>
      <c r="C38" s="430">
        <f t="shared" ref="C38:H38" si="21">Y42</f>
        <v>0</v>
      </c>
      <c r="D38" s="430">
        <f t="shared" si="21"/>
        <v>0</v>
      </c>
      <c r="E38" s="430">
        <f t="shared" si="21"/>
        <v>0</v>
      </c>
      <c r="F38" s="430">
        <f t="shared" si="21"/>
        <v>0</v>
      </c>
      <c r="G38" s="430">
        <f t="shared" si="21"/>
        <v>0</v>
      </c>
      <c r="H38" s="431">
        <f t="shared" si="21"/>
        <v>0</v>
      </c>
      <c r="I38" s="308" t="str">
        <f t="shared" si="0"/>
        <v>Franchise rentier AVS</v>
      </c>
      <c r="J38" s="271" t="s">
        <v>128</v>
      </c>
      <c r="K38" s="430">
        <f t="shared" ref="K38:P38" si="22">AE42</f>
        <v>0</v>
      </c>
      <c r="L38" s="430">
        <f t="shared" si="22"/>
        <v>0</v>
      </c>
      <c r="M38" s="430">
        <f t="shared" si="22"/>
        <v>0</v>
      </c>
      <c r="N38" s="430">
        <f t="shared" si="22"/>
        <v>0</v>
      </c>
      <c r="O38" s="430">
        <f t="shared" si="22"/>
        <v>0</v>
      </c>
      <c r="P38" s="432">
        <f t="shared" si="22"/>
        <v>0</v>
      </c>
      <c r="Q38" s="303">
        <f>SUM(C38:H38)+SUM(K38:P38)</f>
        <v>0</v>
      </c>
      <c r="R38" s="57"/>
      <c r="S38" s="457"/>
      <c r="T38" s="458"/>
      <c r="U38" s="459"/>
      <c r="V38" s="403"/>
      <c r="W38" s="57"/>
      <c r="X38" s="2" t="s">
        <v>139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1" t="s">
        <v>140</v>
      </c>
      <c r="B39" s="270" t="s">
        <v>128</v>
      </c>
      <c r="C39" s="286">
        <f t="shared" ref="C39:H39" si="24">C37-C36-C35-C38</f>
        <v>0</v>
      </c>
      <c r="D39" s="286">
        <f t="shared" si="24"/>
        <v>0</v>
      </c>
      <c r="E39" s="286">
        <f t="shared" si="24"/>
        <v>0</v>
      </c>
      <c r="F39" s="286">
        <f t="shared" si="24"/>
        <v>0</v>
      </c>
      <c r="G39" s="286">
        <f t="shared" si="24"/>
        <v>0</v>
      </c>
      <c r="H39" s="238">
        <f t="shared" si="24"/>
        <v>0</v>
      </c>
      <c r="I39" s="311" t="str">
        <f t="shared" si="0"/>
        <v>AVS montant brut</v>
      </c>
      <c r="J39" s="270" t="s">
        <v>128</v>
      </c>
      <c r="K39" s="286">
        <f t="shared" ref="K39:P39" si="25">K37-K36-K35-K38</f>
        <v>0</v>
      </c>
      <c r="L39" s="286">
        <f t="shared" si="25"/>
        <v>0</v>
      </c>
      <c r="M39" s="286">
        <f t="shared" si="25"/>
        <v>0</v>
      </c>
      <c r="N39" s="302">
        <f t="shared" si="25"/>
        <v>0</v>
      </c>
      <c r="O39" s="286">
        <f t="shared" si="25"/>
        <v>0</v>
      </c>
      <c r="P39" s="238">
        <f t="shared" si="25"/>
        <v>0</v>
      </c>
      <c r="Q39" s="238">
        <f>ROUND((SUM(C39:H39)+SUM(K39:P39))*20,0)/20</f>
        <v>0</v>
      </c>
      <c r="R39" s="79"/>
      <c r="S39" s="457"/>
      <c r="T39" s="458"/>
      <c r="U39" s="459"/>
      <c r="V39" s="403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08" t="str">
        <f>CONCATENATE("AVS/AI/APG ",T8*100,"%")</f>
        <v>AVS/AI/APG 0%</v>
      </c>
      <c r="B40" s="272" t="s">
        <v>128</v>
      </c>
      <c r="C40" s="230">
        <f t="shared" ref="C40:H40" si="26">C$39*-$T$8</f>
        <v>0</v>
      </c>
      <c r="D40" s="230">
        <f t="shared" si="26"/>
        <v>0</v>
      </c>
      <c r="E40" s="230">
        <f t="shared" si="26"/>
        <v>0</v>
      </c>
      <c r="F40" s="230">
        <f t="shared" si="26"/>
        <v>0</v>
      </c>
      <c r="G40" s="230">
        <f t="shared" si="26"/>
        <v>0</v>
      </c>
      <c r="H40" s="231">
        <f t="shared" si="26"/>
        <v>0</v>
      </c>
      <c r="I40" s="322" t="str">
        <f t="shared" si="0"/>
        <v>AVS/AI/APG 0%</v>
      </c>
      <c r="J40" s="272" t="s">
        <v>128</v>
      </c>
      <c r="K40" s="230">
        <f t="shared" ref="K40:P40" si="27">K$39*-$T$8</f>
        <v>0</v>
      </c>
      <c r="L40" s="230">
        <f t="shared" si="27"/>
        <v>0</v>
      </c>
      <c r="M40" s="230">
        <f t="shared" si="27"/>
        <v>0</v>
      </c>
      <c r="N40" s="232">
        <f t="shared" si="27"/>
        <v>0</v>
      </c>
      <c r="O40" s="230">
        <f t="shared" si="27"/>
        <v>0</v>
      </c>
      <c r="P40" s="231">
        <f t="shared" si="27"/>
        <v>0</v>
      </c>
      <c r="Q40" s="235">
        <f t="shared" ref="Q40:Q48" si="28">ROUND((SUM(C40:H40)+SUM(K40:P40))*20,0)/20</f>
        <v>0</v>
      </c>
      <c r="R40" s="65"/>
      <c r="S40" s="474"/>
      <c r="T40" s="475"/>
      <c r="U40" s="476"/>
      <c r="V40" s="403"/>
      <c r="W40" s="65"/>
      <c r="X40" s="2" t="s">
        <v>141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08" t="str">
        <f>CONCATENATE("AC ",T9*100,"%")</f>
        <v>AC 0%</v>
      </c>
      <c r="B41" s="267" t="s">
        <v>128</v>
      </c>
      <c r="C41" s="233">
        <f t="shared" ref="C41:H41" si="30">C$39*(IF(DATEDIF($F$7,$D$1,"Y")&lt;18,0,IF(DATEDIF($F$7,C21,"Y")&gt;(IF($C$10="féminin",63,64)),0,-1.1%)))</f>
        <v>0</v>
      </c>
      <c r="D41" s="233">
        <f t="shared" si="30"/>
        <v>0</v>
      </c>
      <c r="E41" s="233">
        <f t="shared" si="30"/>
        <v>0</v>
      </c>
      <c r="F41" s="233">
        <f t="shared" si="30"/>
        <v>0</v>
      </c>
      <c r="G41" s="233">
        <f t="shared" si="30"/>
        <v>0</v>
      </c>
      <c r="H41" s="234">
        <f t="shared" si="30"/>
        <v>0</v>
      </c>
      <c r="I41" s="322" t="str">
        <f t="shared" si="0"/>
        <v>AC 0%</v>
      </c>
      <c r="J41" s="267" t="s">
        <v>128</v>
      </c>
      <c r="K41" s="233">
        <f t="shared" ref="K41:P41" si="31">K$39*(IF(DATEDIF($F$7,$D$1,"Y")&lt;18,0,IF(DATEDIF($F$7,K21,"Y")&gt;(IF($C$10="féminin",63,64)),0,-1.1%)))</f>
        <v>0</v>
      </c>
      <c r="L41" s="233">
        <f t="shared" si="31"/>
        <v>0</v>
      </c>
      <c r="M41" s="233">
        <f t="shared" si="31"/>
        <v>0</v>
      </c>
      <c r="N41" s="232">
        <f t="shared" si="31"/>
        <v>0</v>
      </c>
      <c r="O41" s="233">
        <f t="shared" si="31"/>
        <v>0</v>
      </c>
      <c r="P41" s="234">
        <f t="shared" si="31"/>
        <v>0</v>
      </c>
      <c r="Q41" s="236">
        <f t="shared" si="28"/>
        <v>0</v>
      </c>
      <c r="R41" s="79"/>
      <c r="S41" s="472"/>
      <c r="T41" s="472"/>
      <c r="U41" s="472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08" t="str">
        <f>IF(T11&lt;0.01,"ANP",(CONCATENATE("ANP ",T11*100,"%")))</f>
        <v>ANP</v>
      </c>
      <c r="B42" s="267" t="s">
        <v>128</v>
      </c>
      <c r="C42" s="412">
        <f t="shared" ref="C42:H42" si="32">(C$37-C$34-C$35-C$36)*-$T$11</f>
        <v>0</v>
      </c>
      <c r="D42" s="412">
        <f t="shared" si="32"/>
        <v>0</v>
      </c>
      <c r="E42" s="412">
        <f t="shared" si="32"/>
        <v>0</v>
      </c>
      <c r="F42" s="412">
        <f t="shared" si="32"/>
        <v>0</v>
      </c>
      <c r="G42" s="412">
        <f t="shared" si="32"/>
        <v>0</v>
      </c>
      <c r="H42" s="414">
        <f t="shared" si="32"/>
        <v>0</v>
      </c>
      <c r="I42" s="322" t="str">
        <f t="shared" si="0"/>
        <v>ANP</v>
      </c>
      <c r="J42" s="267" t="s">
        <v>128</v>
      </c>
      <c r="K42" s="412">
        <f t="shared" ref="K42:P42" si="33">(K$37-K$34-K$35-K$36)*-$T$11</f>
        <v>0</v>
      </c>
      <c r="L42" s="412">
        <f t="shared" si="33"/>
        <v>0</v>
      </c>
      <c r="M42" s="412">
        <f t="shared" si="33"/>
        <v>0</v>
      </c>
      <c r="N42" s="416">
        <f t="shared" si="33"/>
        <v>0</v>
      </c>
      <c r="O42" s="412">
        <f t="shared" si="33"/>
        <v>0</v>
      </c>
      <c r="P42" s="414">
        <f t="shared" si="33"/>
        <v>0</v>
      </c>
      <c r="Q42" s="236">
        <f t="shared" si="28"/>
        <v>0</v>
      </c>
      <c r="R42" s="65"/>
      <c r="S42" s="473"/>
      <c r="T42" s="473"/>
      <c r="U42" s="473"/>
      <c r="V42" s="79"/>
      <c r="W42" s="2">
        <f>IF(S41&gt;1,1,0)</f>
        <v>0</v>
      </c>
      <c r="X42" s="2" t="s">
        <v>142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08" t="str">
        <f>IF(T13&lt;0.0000001,"IJM",(CONCATENATE("IJM ",T13*100,"%")))</f>
        <v>IJM</v>
      </c>
      <c r="B43" s="267" t="s">
        <v>128</v>
      </c>
      <c r="C43" s="412">
        <f t="shared" ref="C43:H43" si="35">(C$37-C$34-C$35-C$36)*-$T$13</f>
        <v>0</v>
      </c>
      <c r="D43" s="412">
        <f t="shared" si="35"/>
        <v>0</v>
      </c>
      <c r="E43" s="412">
        <f t="shared" si="35"/>
        <v>0</v>
      </c>
      <c r="F43" s="412">
        <f t="shared" si="35"/>
        <v>0</v>
      </c>
      <c r="G43" s="412">
        <f t="shared" si="35"/>
        <v>0</v>
      </c>
      <c r="H43" s="414">
        <f t="shared" si="35"/>
        <v>0</v>
      </c>
      <c r="I43" s="322" t="str">
        <f t="shared" si="0"/>
        <v>IJM</v>
      </c>
      <c r="J43" s="267" t="s">
        <v>128</v>
      </c>
      <c r="K43" s="412">
        <f t="shared" ref="K43:P43" si="36">(K$37-K$34-K$35-K$36)*-$T$13</f>
        <v>0</v>
      </c>
      <c r="L43" s="412">
        <f t="shared" si="36"/>
        <v>0</v>
      </c>
      <c r="M43" s="412">
        <f t="shared" si="36"/>
        <v>0</v>
      </c>
      <c r="N43" s="416">
        <f t="shared" si="36"/>
        <v>0</v>
      </c>
      <c r="O43" s="412">
        <f t="shared" si="36"/>
        <v>0</v>
      </c>
      <c r="P43" s="414">
        <f t="shared" si="36"/>
        <v>0</v>
      </c>
      <c r="Q43" s="236">
        <f t="shared" si="28"/>
        <v>0</v>
      </c>
      <c r="R43" s="65"/>
      <c r="S43" s="473"/>
      <c r="T43" s="473"/>
      <c r="U43" s="473"/>
      <c r="V43" s="65"/>
      <c r="W43" s="65"/>
      <c r="X43" s="101" t="s">
        <v>143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1">
        <f>MROUND(SUM(Y43:AJ43),0.05)</f>
        <v>0</v>
      </c>
    </row>
    <row r="44" spans="1:37" s="2" customFormat="1" ht="15" customHeight="1" x14ac:dyDescent="0.2">
      <c r="A44" s="308" t="str">
        <f>IF(T16&gt;0.01%,(CONCATENATE("LPP ",T16*100,"%")),IF(T15&lt;0.01,"LPP",(CONCATENATE("LPP ","CHF ",T15))))</f>
        <v>LPP</v>
      </c>
      <c r="B44" s="267" t="s">
        <v>128</v>
      </c>
      <c r="C44" s="412">
        <f t="shared" ref="C44:H44" si="39">IF(C39&lt;1,0,(IF(DATEDIF($F$7,$D$1,"Y")&lt;19,0,(IF(DATEDIF($F$7,C21,"Y")&gt;(IF($C$10="féminin",63,64)),0,IF($T$16&gt;0.1%,-$T$16*C39,-$T$15))))))</f>
        <v>0</v>
      </c>
      <c r="D44" s="412">
        <f t="shared" si="39"/>
        <v>0</v>
      </c>
      <c r="E44" s="412">
        <f t="shared" si="39"/>
        <v>0</v>
      </c>
      <c r="F44" s="412">
        <f t="shared" si="39"/>
        <v>0</v>
      </c>
      <c r="G44" s="412">
        <f t="shared" si="39"/>
        <v>0</v>
      </c>
      <c r="H44" s="414">
        <f t="shared" si="39"/>
        <v>0</v>
      </c>
      <c r="I44" s="322" t="str">
        <f t="shared" si="0"/>
        <v>LPP</v>
      </c>
      <c r="J44" s="267" t="s">
        <v>128</v>
      </c>
      <c r="K44" s="412">
        <f t="shared" ref="K44:P44" si="40">IF(K39&lt;1,0,(IF(DATEDIF($F$7,$D$1,"Y")&lt;19,0,(IF(DATEDIF($F$7,K21,"Y")&gt;(IF($C$10="féminin",63,64)),0,IF($T$16&gt;0.1%,-$T$16*K39,-$T$15))))))</f>
        <v>0</v>
      </c>
      <c r="L44" s="412">
        <f t="shared" si="40"/>
        <v>0</v>
      </c>
      <c r="M44" s="412">
        <f t="shared" si="40"/>
        <v>0</v>
      </c>
      <c r="N44" s="416">
        <f t="shared" si="40"/>
        <v>0</v>
      </c>
      <c r="O44" s="412">
        <f t="shared" si="40"/>
        <v>0</v>
      </c>
      <c r="P44" s="414">
        <f t="shared" si="40"/>
        <v>0</v>
      </c>
      <c r="Q44" s="236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08" t="str">
        <f>IF(G13="à choisir","",IF(OR(Y9&lt;5%,G13="ordinaire",)," ",(CONCATENATE("Impôt selon LTN ",Y9*100,"%"))))</f>
        <v/>
      </c>
      <c r="B45" s="266" t="str">
        <f>IF(A45="Impôt selon LTN 5%","CHF"," ")</f>
        <v xml:space="preserve"> </v>
      </c>
      <c r="C45" s="412">
        <f t="shared" ref="C45:H45" si="41">IF(C39+C38=0,0,IF(DATEDIF($F$7,C21,"Y")&lt;(IF($C$10="féminin",64,65)),C39*-$Y$9,IF(AND(C38&gt;1),(C39+C38)*-$Y$9,C39*-$Y$9)))</f>
        <v>0</v>
      </c>
      <c r="D45" s="412">
        <f t="shared" si="41"/>
        <v>0</v>
      </c>
      <c r="E45" s="412">
        <f t="shared" si="41"/>
        <v>0</v>
      </c>
      <c r="F45" s="412">
        <f t="shared" si="41"/>
        <v>0</v>
      </c>
      <c r="G45" s="412">
        <f t="shared" si="41"/>
        <v>0</v>
      </c>
      <c r="H45" s="414">
        <f t="shared" si="41"/>
        <v>0</v>
      </c>
      <c r="I45" s="308" t="str">
        <f t="shared" si="0"/>
        <v/>
      </c>
      <c r="J45" s="266" t="str">
        <f>IF(I45="Impôt selon LTN 5%","CHF"," ")</f>
        <v xml:space="preserve"> </v>
      </c>
      <c r="K45" s="412">
        <f t="shared" ref="K45:P45" si="42">IF(K39+K38=0,0,IF(DATEDIF($F$7,K21,"Y")&lt;(IF($C$10="féminin",64,65)),K39*-$Y$9,IF(AND(K38&gt;1),(K39+K38)*-$Y$9,K39*-$Y$9)))</f>
        <v>0</v>
      </c>
      <c r="L45" s="412">
        <f t="shared" si="42"/>
        <v>0</v>
      </c>
      <c r="M45" s="412">
        <f t="shared" si="42"/>
        <v>0</v>
      </c>
      <c r="N45" s="412">
        <f t="shared" si="42"/>
        <v>0</v>
      </c>
      <c r="O45" s="412">
        <f t="shared" si="42"/>
        <v>0</v>
      </c>
      <c r="P45" s="414">
        <f t="shared" si="42"/>
        <v>0</v>
      </c>
      <c r="Q45" s="300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08" t="str">
        <f>IF(G13="ordinaire","Impôt à la source","")</f>
        <v/>
      </c>
      <c r="B46" s="266" t="str">
        <f>IF(A46="QST","CHF"," ")</f>
        <v xml:space="preserve"> </v>
      </c>
      <c r="C46" s="412"/>
      <c r="D46" s="412"/>
      <c r="E46" s="412"/>
      <c r="F46" s="412"/>
      <c r="G46" s="412"/>
      <c r="H46" s="415"/>
      <c r="I46" s="322" t="str">
        <f t="shared" si="0"/>
        <v/>
      </c>
      <c r="J46" s="266" t="str">
        <f>IF(I46="QST","CHF"," ")</f>
        <v xml:space="preserve"> </v>
      </c>
      <c r="K46" s="413"/>
      <c r="L46" s="413"/>
      <c r="M46" s="413"/>
      <c r="N46" s="416"/>
      <c r="O46" s="413"/>
      <c r="P46" s="415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08" t="s">
        <v>144</v>
      </c>
      <c r="B47" s="267" t="s">
        <v>128</v>
      </c>
      <c r="C47" s="412"/>
      <c r="D47" s="413"/>
      <c r="E47" s="413"/>
      <c r="F47" s="413"/>
      <c r="G47" s="413"/>
      <c r="H47" s="415"/>
      <c r="I47" s="322" t="str">
        <f t="shared" si="0"/>
        <v>Frais effectifs</v>
      </c>
      <c r="J47" s="267" t="s">
        <v>128</v>
      </c>
      <c r="K47" s="413"/>
      <c r="L47" s="413"/>
      <c r="M47" s="413"/>
      <c r="N47" s="416"/>
      <c r="O47" s="413"/>
      <c r="P47" s="415"/>
      <c r="Q47" s="70">
        <f t="shared" si="28"/>
        <v>0</v>
      </c>
      <c r="R47" s="165"/>
      <c r="S47" s="65"/>
      <c r="T47" s="65"/>
      <c r="U47" s="65"/>
      <c r="V47" s="165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2" t="s">
        <v>127</v>
      </c>
      <c r="B48" s="271" t="s">
        <v>128</v>
      </c>
      <c r="C48" s="412">
        <f>-C31</f>
        <v>0</v>
      </c>
      <c r="D48" s="413">
        <f t="shared" ref="D48:H48" si="43">-D31</f>
        <v>0</v>
      </c>
      <c r="E48" s="413">
        <f t="shared" si="43"/>
        <v>0</v>
      </c>
      <c r="F48" s="413">
        <f t="shared" si="43"/>
        <v>0</v>
      </c>
      <c r="G48" s="413">
        <f t="shared" si="43"/>
        <v>0</v>
      </c>
      <c r="H48" s="415">
        <f t="shared" si="43"/>
        <v>0</v>
      </c>
      <c r="I48" s="323" t="str">
        <f t="shared" si="0"/>
        <v>Repas &amp; logement</v>
      </c>
      <c r="J48" s="271" t="s">
        <v>128</v>
      </c>
      <c r="K48" s="413">
        <f t="shared" ref="K48:P48" si="44">-K31</f>
        <v>0</v>
      </c>
      <c r="L48" s="413">
        <f t="shared" si="44"/>
        <v>0</v>
      </c>
      <c r="M48" s="413">
        <f t="shared" si="44"/>
        <v>0</v>
      </c>
      <c r="N48" s="416">
        <f t="shared" si="44"/>
        <v>0</v>
      </c>
      <c r="O48" s="413">
        <f t="shared" si="44"/>
        <v>0</v>
      </c>
      <c r="P48" s="415">
        <f t="shared" si="44"/>
        <v>0</v>
      </c>
      <c r="Q48" s="237">
        <f t="shared" si="28"/>
        <v>0</v>
      </c>
      <c r="R48" s="57"/>
      <c r="S48" s="165"/>
      <c r="T48" s="165"/>
      <c r="U48" s="165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29" t="s">
        <v>145</v>
      </c>
      <c r="B49" s="330" t="s">
        <v>128</v>
      </c>
      <c r="C49" s="325">
        <f>MROUND(C37+(SUM(C40:C46)+C47+C48),0.05)</f>
        <v>0</v>
      </c>
      <c r="D49" s="325">
        <f t="shared" ref="D49:H49" si="45">MROUND(D37+(SUM(D40:D46)+D47+D48),0.05)</f>
        <v>0</v>
      </c>
      <c r="E49" s="325">
        <f t="shared" si="45"/>
        <v>0</v>
      </c>
      <c r="F49" s="325">
        <f t="shared" si="45"/>
        <v>0</v>
      </c>
      <c r="G49" s="325">
        <f t="shared" si="45"/>
        <v>0</v>
      </c>
      <c r="H49" s="327">
        <f t="shared" si="45"/>
        <v>0</v>
      </c>
      <c r="I49" s="329" t="str">
        <f t="shared" si="0"/>
        <v>Salaire net</v>
      </c>
      <c r="J49" s="330" t="s">
        <v>128</v>
      </c>
      <c r="K49" s="325">
        <f t="shared" ref="K49:P49" si="46">MROUND(K37+(SUM(K40:K46)+K47+K48),0.05)</f>
        <v>0</v>
      </c>
      <c r="L49" s="325">
        <f t="shared" si="46"/>
        <v>0</v>
      </c>
      <c r="M49" s="325">
        <f t="shared" si="46"/>
        <v>0</v>
      </c>
      <c r="N49" s="325">
        <f t="shared" si="46"/>
        <v>0</v>
      </c>
      <c r="O49" s="325">
        <f t="shared" si="46"/>
        <v>0</v>
      </c>
      <c r="P49" s="327">
        <f t="shared" si="46"/>
        <v>0</v>
      </c>
      <c r="Q49" s="238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1" t="s">
        <v>146</v>
      </c>
      <c r="B50" s="324" t="s">
        <v>128</v>
      </c>
      <c r="C50" s="412"/>
      <c r="D50" s="412"/>
      <c r="E50" s="412"/>
      <c r="F50" s="412"/>
      <c r="G50" s="412"/>
      <c r="H50" s="414"/>
      <c r="I50" s="331" t="str">
        <f t="shared" si="0"/>
        <v>Salaire net payé</v>
      </c>
      <c r="J50" s="324" t="s">
        <v>128</v>
      </c>
      <c r="K50" s="412"/>
      <c r="L50" s="412"/>
      <c r="M50" s="412"/>
      <c r="N50" s="412"/>
      <c r="O50" s="412"/>
      <c r="P50" s="414"/>
      <c r="Q50" s="305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2" t="s">
        <v>147</v>
      </c>
      <c r="B51" s="333" t="s">
        <v>128</v>
      </c>
      <c r="C51" s="326">
        <f>IF(C50=0,0,C50-C49)</f>
        <v>0</v>
      </c>
      <c r="D51" s="326">
        <f t="shared" ref="D51:H51" si="47">IF(D50=0,0,D50-D49)</f>
        <v>0</v>
      </c>
      <c r="E51" s="326">
        <f t="shared" si="47"/>
        <v>0</v>
      </c>
      <c r="F51" s="326">
        <f t="shared" si="47"/>
        <v>0</v>
      </c>
      <c r="G51" s="326">
        <f t="shared" si="47"/>
        <v>0</v>
      </c>
      <c r="H51" s="328">
        <f t="shared" si="47"/>
        <v>0</v>
      </c>
      <c r="I51" s="332" t="str">
        <f t="shared" si="0"/>
        <v>Différence</v>
      </c>
      <c r="J51" s="333" t="s">
        <v>128</v>
      </c>
      <c r="K51" s="326">
        <f t="shared" ref="K51:P51" si="48">IF(K50=0,0,K50-K49)</f>
        <v>0</v>
      </c>
      <c r="L51" s="326">
        <f t="shared" si="48"/>
        <v>0</v>
      </c>
      <c r="M51" s="326">
        <f t="shared" si="48"/>
        <v>0</v>
      </c>
      <c r="N51" s="326">
        <f t="shared" si="48"/>
        <v>0</v>
      </c>
      <c r="O51" s="326">
        <f t="shared" si="48"/>
        <v>0</v>
      </c>
      <c r="P51" s="328">
        <f t="shared" si="48"/>
        <v>0</v>
      </c>
      <c r="Q51" s="305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148</v>
      </c>
      <c r="B52" s="321"/>
      <c r="C52" s="448"/>
      <c r="D52" s="448"/>
      <c r="E52" s="448"/>
      <c r="F52" s="448"/>
      <c r="G52" s="448"/>
      <c r="H52" s="446"/>
      <c r="I52" s="71" t="str">
        <f t="shared" si="0"/>
        <v>Remarques</v>
      </c>
      <c r="J52" s="321"/>
      <c r="K52" s="448"/>
      <c r="L52" s="448"/>
      <c r="M52" s="448"/>
      <c r="N52" s="448"/>
      <c r="O52" s="450"/>
      <c r="P52" s="446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3"/>
      <c r="B53" s="273"/>
      <c r="C53" s="449"/>
      <c r="D53" s="449"/>
      <c r="E53" s="449"/>
      <c r="F53" s="449"/>
      <c r="G53" s="449"/>
      <c r="H53" s="447"/>
      <c r="I53" s="313"/>
      <c r="J53" s="273"/>
      <c r="K53" s="449"/>
      <c r="L53" s="449"/>
      <c r="M53" s="449"/>
      <c r="N53" s="449"/>
      <c r="O53" s="451"/>
      <c r="P53" s="447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4" t="s">
        <v>149</v>
      </c>
      <c r="B55" s="274"/>
      <c r="C55" s="85">
        <f t="shared" ref="C55:H55" si="50">C21</f>
        <v>45292</v>
      </c>
      <c r="D55" s="86">
        <f t="shared" si="50"/>
        <v>45323</v>
      </c>
      <c r="E55" s="86">
        <f t="shared" si="50"/>
        <v>45352</v>
      </c>
      <c r="F55" s="86">
        <f t="shared" si="50"/>
        <v>45383</v>
      </c>
      <c r="G55" s="86">
        <f t="shared" si="50"/>
        <v>45413</v>
      </c>
      <c r="H55" s="87">
        <f t="shared" si="50"/>
        <v>45444</v>
      </c>
      <c r="I55" s="314" t="str">
        <f>A55</f>
        <v>Données pour AssistMe:</v>
      </c>
      <c r="J55" s="274"/>
      <c r="K55" s="86">
        <f t="shared" ref="K55:P55" si="51">K21</f>
        <v>45474</v>
      </c>
      <c r="L55" s="86">
        <f t="shared" si="51"/>
        <v>45505</v>
      </c>
      <c r="M55" s="86">
        <f t="shared" si="51"/>
        <v>45536</v>
      </c>
      <c r="N55" s="88">
        <f t="shared" si="51"/>
        <v>45566</v>
      </c>
      <c r="O55" s="86">
        <f t="shared" si="51"/>
        <v>45597</v>
      </c>
      <c r="P55" s="87">
        <f t="shared" si="51"/>
        <v>45627</v>
      </c>
      <c r="Q55" s="224" t="s">
        <v>126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5" t="s">
        <v>150</v>
      </c>
      <c r="B56" s="275" t="s">
        <v>151</v>
      </c>
      <c r="C56" s="402" t="str">
        <f t="shared" ref="C56:H56" si="52">IF($C$16="Salaire horaire",IF($M$8="","",(C25*$P$10)+(C24*$P$7)+C26+C28+(C32+C33)/(IF($M$13&gt;1,((($M$8+$M$13)/2)),$M$8))),"Salaire mensuel")</f>
        <v>Salaire mensuel</v>
      </c>
      <c r="D56" s="402" t="str">
        <f t="shared" si="52"/>
        <v>Salaire mensuel</v>
      </c>
      <c r="E56" s="402" t="str">
        <f t="shared" si="52"/>
        <v>Salaire mensuel</v>
      </c>
      <c r="F56" s="402" t="str">
        <f t="shared" si="52"/>
        <v>Salaire mensuel</v>
      </c>
      <c r="G56" s="402" t="str">
        <f t="shared" si="52"/>
        <v>Salaire mensuel</v>
      </c>
      <c r="H56" s="287" t="str">
        <f t="shared" si="52"/>
        <v>Salaire mensuel</v>
      </c>
      <c r="I56" s="316" t="str">
        <f>A56</f>
        <v>Nombre d'heures</v>
      </c>
      <c r="J56" s="275" t="s">
        <v>151</v>
      </c>
      <c r="K56" s="402" t="str">
        <f t="shared" ref="K56:P56" si="53">IF($C$16="Salaire horaire",IF($M$8="","",(K25*$P$10)+(K24*$P$7)+K26+K28+(K32+K33)/(IF($M$13&gt;1,((($M$8+$M$13)/2)),$M$8))),"Salaire mensuel")</f>
        <v>Salaire mensuel</v>
      </c>
      <c r="L56" s="402" t="str">
        <f t="shared" si="53"/>
        <v>Salaire mensuel</v>
      </c>
      <c r="M56" s="402" t="str">
        <f t="shared" si="53"/>
        <v>Salaire mensuel</v>
      </c>
      <c r="N56" s="402" t="str">
        <f t="shared" si="53"/>
        <v>Salaire mensuel</v>
      </c>
      <c r="O56" s="402" t="str">
        <f t="shared" si="53"/>
        <v>Salaire mensuel</v>
      </c>
      <c r="P56" s="287" t="str">
        <f t="shared" si="53"/>
        <v>Salaire mensuel</v>
      </c>
      <c r="Q56" s="229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16" t="s">
        <v>145</v>
      </c>
      <c r="B57" s="276" t="s">
        <v>128</v>
      </c>
      <c r="C57" s="288">
        <f>C49-C48-C47-C46-C36-C35-C34-C31</f>
        <v>0</v>
      </c>
      <c r="D57" s="288">
        <f t="shared" ref="D57:H57" si="54">D49-D48-D47-D46-D36-D35-D34-D31</f>
        <v>0</v>
      </c>
      <c r="E57" s="288">
        <f t="shared" si="54"/>
        <v>0</v>
      </c>
      <c r="F57" s="288">
        <f t="shared" si="54"/>
        <v>0</v>
      </c>
      <c r="G57" s="288">
        <f t="shared" si="54"/>
        <v>0</v>
      </c>
      <c r="H57" s="287">
        <f t="shared" si="54"/>
        <v>0</v>
      </c>
      <c r="I57" s="316" t="str">
        <f>A57</f>
        <v>Salaire net</v>
      </c>
      <c r="J57" s="276" t="s">
        <v>128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297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17" t="s">
        <v>152</v>
      </c>
      <c r="B58" s="277" t="s">
        <v>128</v>
      </c>
      <c r="C58" s="289">
        <f>IF(C32&gt;0.1,C32-(C32*(SUM($T$8:$T$14)+$Y$9+$T$16))-(C32/IF(C39=0,1,C39)*-C44),IF(C32&lt;-0.1,C32-(C32*(SUM($T$8:$T$14)+$Y$9+$T$16))-(C32/IF(C39=0,1,C39)*-C44),0))</f>
        <v>0</v>
      </c>
      <c r="D58" s="289">
        <f t="shared" ref="D58:H58" si="56">IF(D32&gt;0.1,D32-(D32*(SUM($T$8:$T$14)+$Y$9+$T$16))-(D32/IF(D39=0,1,D39)*-D44),IF(D32&lt;-0.1,D32-(D32*(SUM($T$8:$T$14)+$Y$9+$T$16))-(D32/IF(D39=0,1,D39)*-D44),0))</f>
        <v>0</v>
      </c>
      <c r="E58" s="289">
        <f t="shared" si="56"/>
        <v>0</v>
      </c>
      <c r="F58" s="289">
        <f t="shared" si="56"/>
        <v>0</v>
      </c>
      <c r="G58" s="289">
        <f t="shared" si="56"/>
        <v>0</v>
      </c>
      <c r="H58" s="290">
        <f t="shared" si="56"/>
        <v>0</v>
      </c>
      <c r="I58" s="317" t="str">
        <f>A58</f>
        <v>Dont oblig. de verser le salaire (art. 324a CO)</v>
      </c>
      <c r="J58" s="277" t="s">
        <v>128</v>
      </c>
      <c r="K58" s="289">
        <f t="shared" ref="K58:P58" si="57">IF(K32&gt;0.1,K32-(K32*(SUM($T$8:$T$14)+$Y$9+$T$16))-(K32/IF(K39=0,1,K39)*-K44),IF(K32&lt;-0.1,K32-(K32*(SUM($T$8:$T$14)+$Y$9+$T$16))-(K32/IF(K39=0,1,K39)*-K44),0))</f>
        <v>0</v>
      </c>
      <c r="L58" s="289">
        <f t="shared" si="57"/>
        <v>0</v>
      </c>
      <c r="M58" s="289">
        <f t="shared" si="57"/>
        <v>0</v>
      </c>
      <c r="N58" s="289">
        <f t="shared" si="57"/>
        <v>0</v>
      </c>
      <c r="O58" s="289">
        <f t="shared" si="57"/>
        <v>0</v>
      </c>
      <c r="P58" s="290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18" t="str">
        <f>IF(G12="oui","Contribution d'assistance de l'AI","")</f>
        <v/>
      </c>
      <c r="B60" s="278"/>
      <c r="C60" s="219" t="str">
        <f t="shared" ref="C60:H60" si="58">IF($G$12="oui",C21,"")</f>
        <v/>
      </c>
      <c r="D60" s="219" t="str">
        <f t="shared" si="58"/>
        <v/>
      </c>
      <c r="E60" s="219" t="str">
        <f t="shared" si="58"/>
        <v/>
      </c>
      <c r="F60" s="219" t="str">
        <f t="shared" si="58"/>
        <v/>
      </c>
      <c r="G60" s="219" t="str">
        <f t="shared" si="58"/>
        <v/>
      </c>
      <c r="H60" s="220" t="str">
        <f t="shared" si="58"/>
        <v/>
      </c>
      <c r="I60" s="318" t="str">
        <f t="shared" ref="I60:I64" si="59">A60</f>
        <v/>
      </c>
      <c r="J60" s="278"/>
      <c r="K60" s="219" t="str">
        <f t="shared" ref="K60:P60" si="60">IF($G$12="oui",K21,"")</f>
        <v/>
      </c>
      <c r="L60" s="219" t="str">
        <f t="shared" si="60"/>
        <v/>
      </c>
      <c r="M60" s="219" t="str">
        <f t="shared" si="60"/>
        <v/>
      </c>
      <c r="N60" s="221" t="str">
        <f t="shared" si="60"/>
        <v/>
      </c>
      <c r="O60" s="219" t="str">
        <f t="shared" si="60"/>
        <v/>
      </c>
      <c r="P60" s="220" t="str">
        <f t="shared" si="60"/>
        <v/>
      </c>
      <c r="Q60" s="225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19" t="str">
        <f>IF(G12="oui","A) Nb. d'heures standard","")</f>
        <v/>
      </c>
      <c r="B61" s="279" t="str">
        <f>IF(G12="oui","h"," ")</f>
        <v xml:space="preserve"> </v>
      </c>
      <c r="C61" s="291" t="str">
        <f>IF($G$12="oui",(IF(DATEDIF($F$7,C$21,"Y")&lt;18,0,C26+C28)),"")</f>
        <v/>
      </c>
      <c r="D61" s="291" t="str">
        <f t="shared" ref="D61:H61" si="61">IF($G$12="oui",(IF(DATEDIF($F$7,D$21,"Y")&lt;18,0,D26+D28)),"")</f>
        <v/>
      </c>
      <c r="E61" s="291" t="str">
        <f t="shared" si="61"/>
        <v/>
      </c>
      <c r="F61" s="223" t="str">
        <f t="shared" si="61"/>
        <v/>
      </c>
      <c r="G61" s="223" t="str">
        <f t="shared" si="61"/>
        <v/>
      </c>
      <c r="H61" s="222" t="str">
        <f t="shared" si="61"/>
        <v/>
      </c>
      <c r="I61" s="320" t="str">
        <f t="shared" si="59"/>
        <v/>
      </c>
      <c r="J61" s="279" t="str">
        <f>B61</f>
        <v xml:space="preserve"> </v>
      </c>
      <c r="K61" s="223" t="str">
        <f t="shared" ref="K61:P61" si="62">IF($G$12="oui",(IF(DATEDIF($F$7,K$21,"Y")&lt;18,0,K26+K28)),"")</f>
        <v/>
      </c>
      <c r="L61" s="223" t="str">
        <f t="shared" si="62"/>
        <v/>
      </c>
      <c r="M61" s="223" t="str">
        <f t="shared" si="62"/>
        <v/>
      </c>
      <c r="N61" s="295" t="str">
        <f t="shared" si="62"/>
        <v/>
      </c>
      <c r="O61" s="223" t="str">
        <f t="shared" si="62"/>
        <v/>
      </c>
      <c r="P61" s="222" t="str">
        <f t="shared" si="62"/>
        <v/>
      </c>
      <c r="Q61" s="22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0" t="str">
        <f>IF(G12="oui","B) Nb. d'heures quali B","")</f>
        <v/>
      </c>
      <c r="B62" s="280" t="str">
        <f>IF(G12="oui","h"," ")</f>
        <v xml:space="preserve"> </v>
      </c>
      <c r="C62" s="291"/>
      <c r="D62" s="291"/>
      <c r="E62" s="291"/>
      <c r="F62" s="291"/>
      <c r="G62" s="291"/>
      <c r="H62" s="292"/>
      <c r="I62" s="320" t="str">
        <f t="shared" si="59"/>
        <v/>
      </c>
      <c r="J62" s="280" t="str">
        <f>B62</f>
        <v xml:space="preserve"> </v>
      </c>
      <c r="K62" s="223"/>
      <c r="L62" s="223"/>
      <c r="M62" s="223"/>
      <c r="N62" s="295"/>
      <c r="O62" s="223"/>
      <c r="P62" s="222"/>
      <c r="Q62" s="222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x14ac:dyDescent="0.2">
      <c r="A63" s="392" t="str">
        <f>IF($G$12="oui","C) Nb. d'engagements 
de nuit","")</f>
        <v/>
      </c>
      <c r="B63" s="393" t="str">
        <f>IF(G12="oui","Nb."," ")</f>
        <v xml:space="preserve"> </v>
      </c>
      <c r="C63" s="394" t="str">
        <f>IF($G$12="oui",(IF(DATEDIF($F$7,C$21,"Y")&lt;18,0,C25)),"")</f>
        <v/>
      </c>
      <c r="D63" s="394" t="str">
        <f t="shared" ref="D63:H63" si="63">IF($G$12="oui",(IF(DATEDIF($F$7,D$21,"Y")&lt;18,0,D25)),"")</f>
        <v/>
      </c>
      <c r="E63" s="394" t="str">
        <f t="shared" si="63"/>
        <v/>
      </c>
      <c r="F63" s="394" t="str">
        <f t="shared" si="63"/>
        <v/>
      </c>
      <c r="G63" s="394" t="str">
        <f t="shared" si="63"/>
        <v/>
      </c>
      <c r="H63" s="395" t="str">
        <f t="shared" si="63"/>
        <v/>
      </c>
      <c r="I63" s="392" t="str">
        <f t="shared" si="59"/>
        <v/>
      </c>
      <c r="J63" s="393" t="str">
        <f>B63</f>
        <v xml:space="preserve"> </v>
      </c>
      <c r="K63" s="394" t="str">
        <f t="shared" ref="K63:P63" si="64">IF($G$12="oui",(IF(DATEDIF($F$7,K$21,"Y")&lt;18,0,K25)),"")</f>
        <v/>
      </c>
      <c r="L63" s="394" t="str">
        <f t="shared" si="64"/>
        <v/>
      </c>
      <c r="M63" s="394" t="str">
        <f t="shared" si="64"/>
        <v/>
      </c>
      <c r="N63" s="396" t="str">
        <f t="shared" si="64"/>
        <v/>
      </c>
      <c r="O63" s="394" t="str">
        <f t="shared" si="64"/>
        <v/>
      </c>
      <c r="P63" s="395" t="str">
        <f t="shared" si="64"/>
        <v/>
      </c>
      <c r="Q63" s="397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1" customFormat="1" ht="15" customHeight="1" thickBot="1" x14ac:dyDescent="0.25">
      <c r="A64" s="433" t="str">
        <f>IF(G12="oui","Oblig. de verser le salaire","")</f>
        <v/>
      </c>
      <c r="B64" s="434"/>
      <c r="C64" s="293" t="str">
        <f>IF($G$12="oui",(IF(OR(C32&gt;0.1,C33&gt;0.1),"décompter","")),"")</f>
        <v/>
      </c>
      <c r="D64" s="293" t="str">
        <f t="shared" ref="D64:H64" si="65">IF($G$12="oui",(IF(OR(D32&gt;0.1,D33&gt;0.1),"décompter","")),"")</f>
        <v/>
      </c>
      <c r="E64" s="293" t="str">
        <f t="shared" si="65"/>
        <v/>
      </c>
      <c r="F64" s="293" t="str">
        <f t="shared" si="65"/>
        <v/>
      </c>
      <c r="G64" s="293" t="str">
        <f t="shared" si="65"/>
        <v/>
      </c>
      <c r="H64" s="294" t="str">
        <f t="shared" si="65"/>
        <v/>
      </c>
      <c r="I64" s="435" t="str">
        <f t="shared" si="59"/>
        <v/>
      </c>
      <c r="J64" s="434"/>
      <c r="K64" s="293" t="str">
        <f t="shared" ref="K64:P64" si="66">IF($G$12="oui",(IF(OR(K32&gt;0.1,K33&gt;0.1),"décompter","")),"")</f>
        <v/>
      </c>
      <c r="L64" s="293" t="str">
        <f t="shared" si="66"/>
        <v/>
      </c>
      <c r="M64" s="293" t="str">
        <f t="shared" si="66"/>
        <v/>
      </c>
      <c r="N64" s="296" t="str">
        <f t="shared" si="66"/>
        <v/>
      </c>
      <c r="O64" s="293" t="str">
        <f t="shared" si="66"/>
        <v/>
      </c>
      <c r="P64" s="294" t="str">
        <f t="shared" si="66"/>
        <v/>
      </c>
      <c r="Q64" s="227" t="str">
        <f>IF($G$12="oui",SUM(C64:H64)+SUM(K64:P64),"")</f>
        <v/>
      </c>
      <c r="R64" s="398"/>
      <c r="S64" s="398"/>
      <c r="T64" s="398"/>
      <c r="U64" s="398"/>
      <c r="V64" s="398"/>
      <c r="W64" s="399"/>
      <c r="X64" s="400"/>
      <c r="Y64" s="400"/>
      <c r="Z64" s="400"/>
      <c r="AA64" s="400"/>
      <c r="AB64" s="400"/>
      <c r="AC64" s="400"/>
      <c r="AD64" s="400"/>
      <c r="AE64" s="400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6"/>
      <c r="Y65" s="226"/>
      <c r="Z65" s="226"/>
      <c r="AA65" s="226"/>
      <c r="AB65" s="226"/>
      <c r="AC65" s="226"/>
      <c r="AD65" s="226"/>
      <c r="AE65" s="226"/>
    </row>
    <row r="66" spans="1:31" ht="15" customHeight="1" x14ac:dyDescent="0.2">
      <c r="S66" s="62"/>
      <c r="T66" s="62"/>
      <c r="U66" s="62"/>
    </row>
  </sheetData>
  <sheetProtection algorithmName="SHA-512" hashValue="dZIgSQ/3ymw6vjgMAZhkskN2AtelMq01cYvQmvq5CG2QbG6SXQoa/74bUQM2ebk8/gnpt2gEC3DDy6NXmRDlSw==" saltValue="PWoGnwrrzUU42pKC8PeZtg==" spinCount="100000" sheet="1" objects="1" scenarios="1"/>
  <mergeCells count="48">
    <mergeCell ref="H52:H53"/>
    <mergeCell ref="C52:C53"/>
    <mergeCell ref="D52:D53"/>
    <mergeCell ref="E52:E53"/>
    <mergeCell ref="F52:F53"/>
    <mergeCell ref="G52:G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O52:O53"/>
    <mergeCell ref="P52:P53"/>
    <mergeCell ref="S24:U26"/>
    <mergeCell ref="S28:U30"/>
    <mergeCell ref="S31:U32"/>
    <mergeCell ref="S33:U35"/>
    <mergeCell ref="S36:U40"/>
    <mergeCell ref="S41:U43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128" priority="28" operator="beginsWith" text="Nom">
      <formula>LEFT(A25,LEN("Nom"))="Nom"</formula>
    </cfRule>
  </conditionalFormatting>
  <conditionalFormatting sqref="A26">
    <cfRule type="containsText" dxfId="127" priority="39" operator="containsText" text="Nombre d'heures">
      <formula>NOT(ISERROR(SEARCH("Nombre d'heures",A26)))</formula>
    </cfRule>
  </conditionalFormatting>
  <conditionalFormatting sqref="A28">
    <cfRule type="containsText" dxfId="126" priority="42" operator="containsText" text="Nombre d'heures II">
      <formula>NOT(ISERROR(SEARCH("Nombre d'heures II",A28)))</formula>
    </cfRule>
  </conditionalFormatting>
  <conditionalFormatting sqref="A24:B24">
    <cfRule type="expression" dxfId="125" priority="40">
      <formula>$G$11="oui"</formula>
    </cfRule>
  </conditionalFormatting>
  <conditionalFormatting sqref="A25:B25">
    <cfRule type="expression" dxfId="124" priority="31">
      <formula>$P$10&gt;0.1</formula>
    </cfRule>
  </conditionalFormatting>
  <conditionalFormatting sqref="A50:B50">
    <cfRule type="expression" dxfId="123" priority="218">
      <formula>$G$11="ja"</formula>
    </cfRule>
  </conditionalFormatting>
  <conditionalFormatting sqref="B25">
    <cfRule type="beginsWith" dxfId="122" priority="27" operator="beginsWith" text="Nb">
      <formula>LEFT(B25,LEN("Nb"))="Nb"</formula>
    </cfRule>
  </conditionalFormatting>
  <conditionalFormatting sqref="B26">
    <cfRule type="containsText" dxfId="121" priority="30" operator="containsText" text="h">
      <formula>NOT(ISERROR(SEARCH("h",B26)))</formula>
    </cfRule>
  </conditionalFormatting>
  <conditionalFormatting sqref="B28">
    <cfRule type="containsText" dxfId="120" priority="29" operator="containsText" text="h">
      <formula>NOT(ISERROR(SEARCH("h",B28)))</formula>
    </cfRule>
  </conditionalFormatting>
  <conditionalFormatting sqref="C17">
    <cfRule type="expression" dxfId="119" priority="54">
      <formula>$A$17="13ème salaire"</formula>
    </cfRule>
  </conditionalFormatting>
  <conditionalFormatting sqref="C22:H22">
    <cfRule type="cellIs" dxfId="118" priority="50" operator="greaterThan">
      <formula>1</formula>
    </cfRule>
  </conditionalFormatting>
  <conditionalFormatting sqref="C23:H23 K23:P23">
    <cfRule type="expression" dxfId="117" priority="17">
      <formula>$B$23="CHF"</formula>
    </cfRule>
  </conditionalFormatting>
  <conditionalFormatting sqref="C24:H24 K24:P24">
    <cfRule type="expression" dxfId="116" priority="36">
      <formula>$G$11="oui"</formula>
    </cfRule>
  </conditionalFormatting>
  <conditionalFormatting sqref="C25:H25 K25:P25">
    <cfRule type="expression" dxfId="115" priority="3">
      <formula>$B$25="Nb."</formula>
    </cfRule>
  </conditionalFormatting>
  <conditionalFormatting sqref="C26:H26">
    <cfRule type="expression" dxfId="114" priority="10">
      <formula>$G$12="oui"</formula>
    </cfRule>
    <cfRule type="expression" dxfId="113" priority="11">
      <formula>$C$16="Salaire horaire"</formula>
    </cfRule>
  </conditionalFormatting>
  <conditionalFormatting sqref="C28:H28 K28:P28">
    <cfRule type="expression" dxfId="112" priority="37">
      <formula>$G$10="oui"</formula>
    </cfRule>
  </conditionalFormatting>
  <conditionalFormatting sqref="C50:H50">
    <cfRule type="expression" dxfId="111" priority="192">
      <formula>C51&gt;0.01</formula>
    </cfRule>
    <cfRule type="expression" dxfId="110" priority="193">
      <formula>C51&lt;-0.01</formula>
    </cfRule>
  </conditionalFormatting>
  <conditionalFormatting sqref="C51:H51">
    <cfRule type="cellIs" dxfId="109" priority="206" operator="lessThan">
      <formula>-0.04</formula>
    </cfRule>
    <cfRule type="cellIs" dxfId="108" priority="207" operator="greaterThan">
      <formula>0.04</formula>
    </cfRule>
  </conditionalFormatting>
  <conditionalFormatting sqref="G1">
    <cfRule type="containsText" dxfId="107" priority="25" operator="containsText" text="Attention faute">
      <formula>NOT(ISERROR(SEARCH("Attention faute",G1)))</formula>
    </cfRule>
  </conditionalFormatting>
  <conditionalFormatting sqref="G10">
    <cfRule type="expression" dxfId="106" priority="18">
      <formula>$C$16="Salaire horaire"</formula>
    </cfRule>
  </conditionalFormatting>
  <conditionalFormatting sqref="H17:H18 S24">
    <cfRule type="beginsWith" dxfId="105" priority="46" operator="beginsWith" text="ATT">
      <formula>LEFT(H17,LEN("ATT"))="ATT"</formula>
    </cfRule>
  </conditionalFormatting>
  <conditionalFormatting sqref="I25">
    <cfRule type="beginsWith" dxfId="104" priority="5" operator="beginsWith" text="Nom">
      <formula>LEFT(I25,LEN("Nom"))="Nom"</formula>
    </cfRule>
  </conditionalFormatting>
  <conditionalFormatting sqref="I26">
    <cfRule type="containsText" dxfId="103" priority="22" operator="containsText" text="Nombre d'heures">
      <formula>NOT(ISERROR(SEARCH("Nombre d'heures",I26)))</formula>
    </cfRule>
  </conditionalFormatting>
  <conditionalFormatting sqref="I28">
    <cfRule type="containsText" dxfId="102" priority="24" operator="containsText" text="Nombre d'heures II">
      <formula>NOT(ISERROR(SEARCH("Nombre d'heures II",I28)))</formula>
    </cfRule>
  </conditionalFormatting>
  <conditionalFormatting sqref="I24:J24">
    <cfRule type="expression" dxfId="101" priority="23">
      <formula>$G$11="oui"</formula>
    </cfRule>
  </conditionalFormatting>
  <conditionalFormatting sqref="I25:J25">
    <cfRule type="expression" dxfId="100" priority="6">
      <formula>$P$10&gt;0.1</formula>
    </cfRule>
  </conditionalFormatting>
  <conditionalFormatting sqref="I50:J50">
    <cfRule type="expression" dxfId="99" priority="170">
      <formula>$G$11="ja"</formula>
    </cfRule>
  </conditionalFormatting>
  <conditionalFormatting sqref="J25">
    <cfRule type="beginsWith" dxfId="98" priority="4" operator="beginsWith" text="Nb">
      <formula>LEFT(J25,LEN("Nb"))="Nb"</formula>
    </cfRule>
  </conditionalFormatting>
  <conditionalFormatting sqref="J26">
    <cfRule type="containsText" dxfId="97" priority="21" operator="containsText" text="h">
      <formula>NOT(ISERROR(SEARCH("h",J26)))</formula>
    </cfRule>
  </conditionalFormatting>
  <conditionalFormatting sqref="J28">
    <cfRule type="containsText" dxfId="96" priority="20" operator="containsText" text="h">
      <formula>NOT(ISERROR(SEARCH("h",J28)))</formula>
    </cfRule>
  </conditionalFormatting>
  <conditionalFormatting sqref="K22:P22">
    <cfRule type="cellIs" dxfId="95" priority="51" operator="greaterThan">
      <formula>1</formula>
    </cfRule>
  </conditionalFormatting>
  <conditionalFormatting sqref="K26:P26">
    <cfRule type="expression" dxfId="94" priority="34">
      <formula>$G$12="oui"</formula>
    </cfRule>
    <cfRule type="expression" dxfId="93" priority="35">
      <formula>$C$16="Salaire horaire"</formula>
    </cfRule>
  </conditionalFormatting>
  <conditionalFormatting sqref="K50:P50">
    <cfRule type="expression" dxfId="92" priority="180">
      <formula>K51&gt;0.01</formula>
    </cfRule>
    <cfRule type="expression" dxfId="91" priority="181">
      <formula>K51&lt;-0.01</formula>
    </cfRule>
  </conditionalFormatting>
  <conditionalFormatting sqref="K51:P51">
    <cfRule type="cellIs" dxfId="90" priority="202" operator="lessThan">
      <formula>-0.04</formula>
    </cfRule>
    <cfRule type="cellIs" dxfId="89" priority="203" operator="greaterThan">
      <formula>0.04</formula>
    </cfRule>
  </conditionalFormatting>
  <conditionalFormatting sqref="L7">
    <cfRule type="expression" dxfId="88" priority="33">
      <formula>$C$16="à choisir"</formula>
    </cfRule>
  </conditionalFormatting>
  <conditionalFormatting sqref="L12">
    <cfRule type="expression" dxfId="87" priority="43">
      <formula>$G$10="oui"</formula>
    </cfRule>
  </conditionalFormatting>
  <conditionalFormatting sqref="M8">
    <cfRule type="expression" dxfId="86" priority="32">
      <formula>$C$16="Salaire horaire"</formula>
    </cfRule>
    <cfRule type="expression" dxfId="85" priority="26">
      <formula>$C$16="salaire mensuel"</formula>
    </cfRule>
  </conditionalFormatting>
  <conditionalFormatting sqref="M13">
    <cfRule type="expression" dxfId="84" priority="38">
      <formula>$G$10="oui"</formula>
    </cfRule>
  </conditionalFormatting>
  <conditionalFormatting sqref="P1">
    <cfRule type="containsText" dxfId="83" priority="19" operator="containsText" text="Attention faute">
      <formula>NOT(ISERROR(SEARCH("Attention faute",P1)))</formula>
    </cfRule>
  </conditionalFormatting>
  <conditionalFormatting sqref="P7">
    <cfRule type="expression" dxfId="82" priority="41">
      <formula>$Q$7="du Sal.horaire"</formula>
    </cfRule>
  </conditionalFormatting>
  <conditionalFormatting sqref="P10">
    <cfRule type="expression" dxfId="81" priority="44">
      <formula>$Q$10="heures"</formula>
    </cfRule>
  </conditionalFormatting>
  <conditionalFormatting sqref="S20">
    <cfRule type="beginsWith" dxfId="80" priority="8" operator="beginsWith" text="Rema">
      <formula>LEFT(S20,LEN("Rema"))="Rema"</formula>
    </cfRule>
    <cfRule type="beginsWith" dxfId="79" priority="7" operator="beginsWith" text="Ni">
      <formula>LEFT(S20,LEN("Ni"))="Ni"</formula>
    </cfRule>
    <cfRule type="beginsWith" dxfId="78" priority="9" operator="beginsWith" text="La">
      <formula>LEFT(S20,LEN("La"))="La"</formula>
    </cfRule>
  </conditionalFormatting>
  <conditionalFormatting sqref="S28">
    <cfRule type="beginsWith" dxfId="77" priority="45" operator="beginsWith" text="ATT">
      <formula>LEFT(S28,LEN("ATT"))="ATT"</formula>
    </cfRule>
  </conditionalFormatting>
  <conditionalFormatting sqref="S36:S37">
    <cfRule type="beginsWith" dxfId="76" priority="102" operator="beginsWith" text="Att">
      <formula>LEFT(S36,LEN("Att"))="Att"</formula>
    </cfRule>
  </conditionalFormatting>
  <conditionalFormatting sqref="A64:Q64">
    <cfRule type="expression" dxfId="75" priority="1">
      <formula>$G$12="non"</formula>
    </cfRule>
  </conditionalFormatting>
  <conditionalFormatting sqref="A60:Q63">
    <cfRule type="expression" dxfId="74" priority="2">
      <formula>$G$12="non"</formula>
    </cfRule>
  </conditionalFormatting>
  <dataValidations count="7">
    <dataValidation type="list" allowBlank="1" showInputMessage="1" showErrorMessage="1" sqref="G10" xr:uid="{00000000-0002-0000-0800-000001000000}">
      <formula1>$AC$13:$AC$14</formula1>
    </dataValidation>
    <dataValidation type="list" allowBlank="1" showInputMessage="1" showErrorMessage="1" sqref="C17" xr:uid="{00000000-0002-0000-0800-000002000000}">
      <formula1>$Y$11:$Y$12</formula1>
    </dataValidation>
    <dataValidation type="list" allowBlank="1" showInputMessage="1" showErrorMessage="1" sqref="C10" xr:uid="{13D68575-AB4D-4626-A964-8372781A71DC}">
      <formula1>$X$6:$X$8</formula1>
    </dataValidation>
    <dataValidation type="list" allowBlank="1" showInputMessage="1" showErrorMessage="1" sqref="F9:G9" xr:uid="{00000000-0002-0000-0800-000000000000}">
      <formula1>$AB$6:$AB$19</formula1>
    </dataValidation>
    <dataValidation type="list" allowBlank="1" showInputMessage="1" showErrorMessage="1" sqref="C16" xr:uid="{722AAD83-F402-424F-AFCC-F2E0E558F76A}">
      <formula1>$X$11:$X$13</formula1>
    </dataValidation>
    <dataValidation type="list" allowBlank="1" showInputMessage="1" showErrorMessage="1" sqref="G13" xr:uid="{9B53FE69-EEAA-4F10-BCE2-F08F214E1707}">
      <formula1>$Y$6:$Y$8</formula1>
    </dataValidation>
    <dataValidation type="list" allowBlank="1" showInputMessage="1" showErrorMessage="1" sqref="G11:G12" xr:uid="{B71B4734-D932-4424-BDBC-15153395FB72}">
      <formula1>$AH$6:$AH$8</formula1>
    </dataValidation>
  </dataValidations>
  <hyperlinks>
    <hyperlink ref="G1:H3" location="Fehler1" display="Fehler1" xr:uid="{C67117DB-E468-4CBB-8BC1-4C94029B4F31}"/>
    <hyperlink ref="P1:Q3" location="Fehler1" display="Fehler1" xr:uid="{D0D9AC64-69FA-453F-BB31-65E409550886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7.0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BD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19.7109375" style="1" customWidth="1"/>
    <col min="10" max="10" width="4.5703125" style="1" bestFit="1" customWidth="1"/>
    <col min="11" max="16" width="12.28515625" style="1" customWidth="1"/>
    <col min="17" max="17" width="13.28515625" style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hidden="1" customWidth="1"/>
    <col min="38" max="16384" width="11.42578125" style="1"/>
  </cols>
  <sheetData>
    <row r="1" spans="1:35" ht="12.75" customHeight="1" x14ac:dyDescent="0.2">
      <c r="A1" s="443" t="str">
        <f>'PA 1'!A1:C1</f>
        <v>Nom/Prénom employeur</v>
      </c>
      <c r="B1" s="443"/>
      <c r="C1" s="443"/>
      <c r="D1" s="453">
        <v>45657</v>
      </c>
      <c r="E1" s="453"/>
      <c r="F1" s="453"/>
      <c r="G1" s="444" t="str">
        <f>IF($W45&gt;4,"Attention erreur!",IF($W$45&gt;0,"Attention remarque!",""))</f>
        <v/>
      </c>
      <c r="H1" s="444"/>
      <c r="I1" s="460" t="str">
        <f>A1</f>
        <v>Nom/Prénom employeur</v>
      </c>
      <c r="J1" s="460"/>
      <c r="K1" s="460"/>
      <c r="L1" s="453">
        <f>D1</f>
        <v>45657</v>
      </c>
      <c r="M1" s="453"/>
      <c r="N1" s="453"/>
      <c r="O1" s="453"/>
      <c r="P1" s="444" t="str">
        <f>IF($W45&gt;4,"Attention erreur!",IF($W$45&gt;0,"Attention remarque!",""))</f>
        <v/>
      </c>
      <c r="Q1" s="444"/>
      <c r="S1" s="246" t="s">
        <v>47</v>
      </c>
      <c r="T1" s="260"/>
      <c r="U1" s="361" t="s">
        <v>48</v>
      </c>
      <c r="V1" s="362" t="s">
        <v>49</v>
      </c>
      <c r="W1" s="68"/>
      <c r="AE1" s="1"/>
    </row>
    <row r="2" spans="1:35" ht="12.75" customHeight="1" x14ac:dyDescent="0.2">
      <c r="A2" s="443" t="str">
        <f>'PA 1'!A2:C2</f>
        <v>Lieu employeur</v>
      </c>
      <c r="B2" s="443"/>
      <c r="C2" s="443"/>
      <c r="D2" s="453"/>
      <c r="E2" s="453"/>
      <c r="F2" s="453"/>
      <c r="G2" s="444"/>
      <c r="H2" s="444"/>
      <c r="I2" s="460" t="str">
        <f>A2</f>
        <v>Lieu employeur</v>
      </c>
      <c r="J2" s="460"/>
      <c r="K2" s="460"/>
      <c r="L2" s="453"/>
      <c r="M2" s="453"/>
      <c r="N2" s="453"/>
      <c r="O2" s="453"/>
      <c r="P2" s="444"/>
      <c r="Q2" s="444"/>
      <c r="S2" s="249" t="s">
        <v>51</v>
      </c>
      <c r="T2" s="2"/>
      <c r="U2" s="218">
        <f>IF(C16="Salaire horaire",(M8*M7*52)+(M13*M12*52),(M8+Y13)*12)</f>
        <v>0</v>
      </c>
      <c r="V2" s="261"/>
      <c r="W2" s="68"/>
      <c r="Y2" s="466" t="s">
        <v>52</v>
      </c>
      <c r="AA2" s="466" t="s">
        <v>53</v>
      </c>
      <c r="AE2" s="1"/>
    </row>
    <row r="3" spans="1:35" ht="5.0999999999999996" customHeight="1" x14ac:dyDescent="0.2">
      <c r="G3" s="444"/>
      <c r="H3" s="444"/>
      <c r="P3" s="444"/>
      <c r="Q3" s="444"/>
      <c r="S3" s="254"/>
      <c r="V3" s="250"/>
      <c r="W3" s="68"/>
      <c r="Y3" s="466"/>
      <c r="AA3" s="466"/>
      <c r="AE3" s="1"/>
    </row>
    <row r="4" spans="1:35" ht="15.75" customHeight="1" thickBot="1" x14ac:dyDescent="0.3">
      <c r="A4" s="41" t="s">
        <v>54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0" t="s">
        <v>55</v>
      </c>
      <c r="J4" s="360"/>
      <c r="K4" s="360"/>
      <c r="L4" s="360"/>
      <c r="M4" s="42"/>
      <c r="N4" s="42"/>
      <c r="O4" s="42"/>
      <c r="P4" s="42"/>
      <c r="Q4" s="51" t="str">
        <f>CONCATENATE($C$6," ",$C$7)</f>
        <v xml:space="preserve"> </v>
      </c>
      <c r="S4" s="454" t="s">
        <v>56</v>
      </c>
      <c r="T4" s="455"/>
      <c r="U4" s="262">
        <f>((U2-(U2*SUM(T8:T14,T16,Y9)+(12*T15)))*Z14)</f>
        <v>0</v>
      </c>
      <c r="V4" s="263">
        <f>U4/365</f>
        <v>0</v>
      </c>
      <c r="W4" s="68"/>
      <c r="X4" s="464" t="s">
        <v>57</v>
      </c>
      <c r="Y4" s="466"/>
      <c r="Z4" s="464" t="s">
        <v>58</v>
      </c>
      <c r="AA4" s="466"/>
      <c r="AB4" s="467" t="s">
        <v>59</v>
      </c>
      <c r="AC4" s="468" t="s">
        <v>60</v>
      </c>
      <c r="AD4" s="465" t="s">
        <v>61</v>
      </c>
      <c r="AE4" s="1"/>
      <c r="AH4" s="464" t="s">
        <v>62</v>
      </c>
      <c r="AI4" s="464"/>
    </row>
    <row r="5" spans="1:35" ht="5.0999999999999996" customHeight="1" x14ac:dyDescent="0.2">
      <c r="X5" s="464"/>
      <c r="Y5" s="466"/>
      <c r="Z5" s="464"/>
      <c r="AA5" s="466"/>
      <c r="AB5" s="467"/>
      <c r="AC5" s="468"/>
      <c r="AD5" s="465"/>
      <c r="AE5" s="2"/>
      <c r="AF5" s="4"/>
      <c r="AG5" s="48"/>
      <c r="AH5" s="464"/>
      <c r="AI5" s="464"/>
    </row>
    <row r="6" spans="1:35" s="2" customFormat="1" ht="13.5" thickBot="1" x14ac:dyDescent="0.25">
      <c r="A6" s="2" t="s">
        <v>63</v>
      </c>
      <c r="C6" s="452"/>
      <c r="D6" s="452"/>
      <c r="E6" s="2" t="s">
        <v>64</v>
      </c>
      <c r="F6" s="445"/>
      <c r="G6" s="445"/>
      <c r="I6" s="6" t="s">
        <v>65</v>
      </c>
      <c r="N6" s="6" t="str">
        <f>IF(AND(C16="Salaire horaire",G11="oui"),"Calcul de l'indemnité les heures de garde","")</f>
        <v/>
      </c>
      <c r="W6" s="180"/>
      <c r="X6" s="2" t="s">
        <v>66</v>
      </c>
      <c r="Y6" s="2" t="s">
        <v>66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28" t="s">
        <v>66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67</v>
      </c>
      <c r="AG6" s="49"/>
      <c r="AH6" s="2" t="s">
        <v>66</v>
      </c>
    </row>
    <row r="7" spans="1:35" s="2" customFormat="1" x14ac:dyDescent="0.2">
      <c r="A7" s="2" t="s">
        <v>68</v>
      </c>
      <c r="C7" s="452"/>
      <c r="D7" s="452"/>
      <c r="E7" s="2" t="s">
        <v>69</v>
      </c>
      <c r="F7" s="445"/>
      <c r="G7" s="445"/>
      <c r="I7" s="2" t="str">
        <f>IF(C16="Salaire horaire",IF(G10="oui","Taux d'occupation I","Taux d'occupation"),IF(C16="Salaire mensuel","Taux d'occupation",""))</f>
        <v/>
      </c>
      <c r="L7" s="406"/>
      <c r="M7" s="371">
        <f>42*L7</f>
        <v>0</v>
      </c>
      <c r="N7" s="2" t="str">
        <f>IF(AND(C16="Salaire horaire",G11="oui"),"1 heure de garde =","")</f>
        <v/>
      </c>
      <c r="P7" s="304"/>
      <c r="Q7" s="2" t="str">
        <f>IF(AND(C16="Salaire horaire",G11="oui"),"du Sal.horaire","")</f>
        <v/>
      </c>
      <c r="S7" s="246" t="s">
        <v>70</v>
      </c>
      <c r="T7" s="247" t="s">
        <v>71</v>
      </c>
      <c r="U7" s="248"/>
      <c r="W7" s="1"/>
      <c r="X7" s="2" t="s">
        <v>72</v>
      </c>
      <c r="Y7" s="2" t="s">
        <v>73</v>
      </c>
      <c r="Z7" s="59" t="str">
        <f>IF(OR(G13="ordinaire",G13="à choisir"),"ordinaire","")</f>
        <v>ordinaire</v>
      </c>
      <c r="AA7" s="59"/>
      <c r="AB7" s="59" t="s">
        <v>74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75</v>
      </c>
      <c r="AG7" s="49">
        <f>IF(C16="Salaire horaire",(M7*52/12)*12*M8,(M8)*12)</f>
        <v>0</v>
      </c>
      <c r="AH7" s="2" t="s">
        <v>76</v>
      </c>
    </row>
    <row r="8" spans="1:35" s="2" customFormat="1" ht="12" customHeight="1" x14ac:dyDescent="0.2">
      <c r="A8" s="2" t="s">
        <v>77</v>
      </c>
      <c r="C8" s="452"/>
      <c r="D8" s="452"/>
      <c r="E8" s="2" t="s">
        <v>78</v>
      </c>
      <c r="F8" s="452"/>
      <c r="G8" s="452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5"/>
      <c r="S8" s="249" t="s">
        <v>79</v>
      </c>
      <c r="T8" s="251">
        <f>IF(F7="",0,IF(DATEDIF($F$7,D1,"Y")&lt;18,0,5.3%))</f>
        <v>0</v>
      </c>
      <c r="U8" s="250"/>
      <c r="W8" s="152"/>
      <c r="X8" s="2" t="s">
        <v>80</v>
      </c>
      <c r="Y8" s="59" t="s">
        <v>81</v>
      </c>
      <c r="Z8" s="59"/>
      <c r="AB8" s="59" t="s">
        <v>82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83</v>
      </c>
    </row>
    <row r="9" spans="1:35" s="2" customFormat="1" x14ac:dyDescent="0.2">
      <c r="A9" s="2" t="s">
        <v>84</v>
      </c>
      <c r="C9" s="452"/>
      <c r="D9" s="452"/>
      <c r="E9" s="2" t="s">
        <v>85</v>
      </c>
      <c r="F9" s="456" t="s">
        <v>66</v>
      </c>
      <c r="G9" s="456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3" t="str">
        <f>IF($C$16="Salaire horaire",M8/(1+L9)*L9,"")</f>
        <v/>
      </c>
      <c r="N9" s="6" t="str">
        <f>IF(C16="Salaire horaire","Conversion des engagements de nuit en heures","")</f>
        <v/>
      </c>
      <c r="S9" s="249" t="s">
        <v>86</v>
      </c>
      <c r="T9" s="251">
        <f>IF(DATEDIF($F$7,D1,"Y")&lt;18,0,IF(DATEDIF($F$7,C21,"Y")&gt;(IF($C$10="féminin",63,64)),0,1.1%))</f>
        <v>0</v>
      </c>
      <c r="U9" s="252"/>
      <c r="W9" s="181"/>
      <c r="Y9" s="75">
        <f>IF(G13="à choisir",0,IF(AND(Z6="simplifiée",'PA 1'!Z6="simplifiée",'PA 2'!Z6="simplifiée",'PA 3'!Z6="simplifiée",'PA 5'!Z6="simplifiée",'PA 6'!Z6="simplifiée",'PA 7'!Z6="simplifiée",'PA 8'!Z6="simplifiée",'PA 4'!Z6="simplifiée"),IF(DATEDIF($F$7,D21,"Y")&lt;17,0%,5%),0%))</f>
        <v>0</v>
      </c>
      <c r="Z9" s="59"/>
      <c r="AB9" s="59" t="s">
        <v>87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88</v>
      </c>
      <c r="C10" s="405" t="s">
        <v>66</v>
      </c>
      <c r="E10" s="2" t="str">
        <f>IF(C16="Salaire horaire","Avez-vous 2 différents sal. horaire?","")</f>
        <v/>
      </c>
      <c r="G10" s="427"/>
      <c r="H10" s="168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4" t="str">
        <f>IF($C$16="Salaire horaire",M8-M9,"")</f>
        <v/>
      </c>
      <c r="N10" s="2" t="str">
        <f>IF(C16="Salaire horaire","1 nuit correspond à","")</f>
        <v/>
      </c>
      <c r="P10" s="264"/>
      <c r="Q10" s="2" t="str">
        <f>IF(C16="Salaire horaire","heures","")</f>
        <v/>
      </c>
      <c r="S10" s="249"/>
      <c r="T10" s="251"/>
      <c r="U10" s="252"/>
      <c r="W10" s="1"/>
      <c r="X10" s="6" t="s">
        <v>89</v>
      </c>
      <c r="Y10" s="6" t="s">
        <v>90</v>
      </c>
      <c r="Z10" s="64" t="s">
        <v>91</v>
      </c>
      <c r="AB10" s="59" t="s">
        <v>92</v>
      </c>
      <c r="AD10" s="59" t="e">
        <f>ROUND(M8/L7,0)</f>
        <v>#DIV/0!</v>
      </c>
    </row>
    <row r="11" spans="1:35" s="2" customFormat="1" ht="13.5" customHeight="1" x14ac:dyDescent="0.2">
      <c r="A11" s="2" t="s">
        <v>93</v>
      </c>
      <c r="C11" s="405"/>
      <c r="E11" s="2" t="s">
        <v>94</v>
      </c>
      <c r="G11" s="405" t="s">
        <v>66</v>
      </c>
      <c r="S11" s="249" t="s">
        <v>95</v>
      </c>
      <c r="T11" s="407"/>
      <c r="U11" s="253" t="s">
        <v>96</v>
      </c>
      <c r="W11" s="1"/>
      <c r="X11" s="2" t="s">
        <v>66</v>
      </c>
      <c r="Y11" s="2" t="str">
        <f>IF(C16="Salaire mensuel","oui","")</f>
        <v/>
      </c>
      <c r="Z11" s="179">
        <f>IF(G13="simplifiée",126.8%,0)</f>
        <v>0</v>
      </c>
      <c r="AB11" s="59" t="s">
        <v>97</v>
      </c>
      <c r="AD11" s="59"/>
    </row>
    <row r="12" spans="1:35" s="2" customFormat="1" ht="13.5" customHeight="1" x14ac:dyDescent="0.2">
      <c r="A12" s="2" t="s">
        <v>98</v>
      </c>
      <c r="C12" s="405"/>
      <c r="E12" s="2" t="s">
        <v>99</v>
      </c>
      <c r="G12" s="405" t="s">
        <v>66</v>
      </c>
      <c r="I12" s="2" t="str">
        <f>IF(G10="oui","Taux d'occupation II","")</f>
        <v/>
      </c>
      <c r="L12" s="217"/>
      <c r="M12" s="242">
        <f>42*L12</f>
        <v>0</v>
      </c>
      <c r="S12" s="249"/>
      <c r="T12" s="1"/>
      <c r="U12" s="250"/>
      <c r="W12" s="1"/>
      <c r="X12" s="2" t="s">
        <v>100</v>
      </c>
      <c r="Y12" s="2" t="str">
        <f>IF(C16="Salaire mensuel","non","")</f>
        <v/>
      </c>
      <c r="Z12" s="179">
        <f>IF(AND(G13="ordinaire",T15=0,T16=0),119.9%,0)</f>
        <v>0</v>
      </c>
      <c r="AA12" s="59"/>
      <c r="AB12" s="59" t="s">
        <v>101</v>
      </c>
      <c r="AC12" s="64" t="s">
        <v>102</v>
      </c>
      <c r="AD12" s="59"/>
    </row>
    <row r="13" spans="1:35" s="2" customFormat="1" ht="12.75" customHeight="1" x14ac:dyDescent="0.2">
      <c r="A13" s="2" t="s">
        <v>103</v>
      </c>
      <c r="C13" s="405"/>
      <c r="E13" s="2" t="s">
        <v>104</v>
      </c>
      <c r="G13" s="405" t="s">
        <v>66</v>
      </c>
      <c r="I13" s="5" t="str">
        <f>IF(G10="oui","Salaire horaire II (avec Suppl. vacances)","")</f>
        <v/>
      </c>
      <c r="L13" s="4"/>
      <c r="M13" s="245"/>
      <c r="S13" s="249" t="s">
        <v>105</v>
      </c>
      <c r="T13" s="408"/>
      <c r="U13" s="253" t="s">
        <v>96</v>
      </c>
      <c r="W13" s="68"/>
      <c r="X13" s="2" t="s">
        <v>106</v>
      </c>
      <c r="Y13" s="2">
        <f>IF(C17="oui",M8/12,0)</f>
        <v>0</v>
      </c>
      <c r="Z13" s="179">
        <f>IF(OR(T15&gt;0,T16&gt;0),129.2%,0)</f>
        <v>0</v>
      </c>
      <c r="AA13" s="59"/>
      <c r="AB13" s="59" t="s">
        <v>107</v>
      </c>
      <c r="AC13" s="59" t="s">
        <v>76</v>
      </c>
      <c r="AD13" s="59"/>
    </row>
    <row r="14" spans="1:35" s="2" customFormat="1" ht="12.75" customHeight="1" x14ac:dyDescent="0.2">
      <c r="A14" s="2" t="s">
        <v>108</v>
      </c>
      <c r="C14" s="409"/>
      <c r="E14" s="2" t="s">
        <v>109</v>
      </c>
      <c r="F14" s="452"/>
      <c r="G14" s="452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3" t="str">
        <f>IF(G10="oui",M13/(1+L14)*L14,"")</f>
        <v/>
      </c>
      <c r="S14" s="254"/>
      <c r="T14" s="1"/>
      <c r="U14" s="250"/>
      <c r="W14" s="68"/>
      <c r="Y14" s="151">
        <f>M8</f>
        <v>0</v>
      </c>
      <c r="Z14" s="179">
        <f>SUM(Z11:Z13)</f>
        <v>0</v>
      </c>
      <c r="AA14" s="59"/>
      <c r="AB14" s="58" t="s">
        <v>110</v>
      </c>
      <c r="AC14" s="59" t="s">
        <v>83</v>
      </c>
      <c r="AD14" s="59"/>
    </row>
    <row r="15" spans="1:35" s="2" customFormat="1" ht="12.75" customHeight="1" x14ac:dyDescent="0.2">
      <c r="A15" s="2" t="s">
        <v>111</v>
      </c>
      <c r="C15" s="409"/>
      <c r="E15" s="2" t="s">
        <v>112</v>
      </c>
      <c r="F15" s="452"/>
      <c r="G15" s="452"/>
      <c r="I15" s="5" t="str">
        <f>IF(G10="oui","Salaire horaire II (sans Suppl. vacances)","")</f>
        <v/>
      </c>
      <c r="M15" s="244" t="str">
        <f>IF(G10="oui",M13-M14,"")</f>
        <v/>
      </c>
      <c r="S15" s="249" t="s">
        <v>113</v>
      </c>
      <c r="T15" s="410"/>
      <c r="U15" s="255" t="s">
        <v>114</v>
      </c>
      <c r="W15" s="1"/>
      <c r="Y15" s="2">
        <f>SUM(Y13:Y14)</f>
        <v>0</v>
      </c>
      <c r="Z15" s="59"/>
      <c r="AA15" s="59"/>
      <c r="AB15" s="59" t="s">
        <v>115</v>
      </c>
      <c r="AD15" s="59"/>
    </row>
    <row r="16" spans="1:35" s="2" customFormat="1" ht="12.75" customHeight="1" thickBot="1" x14ac:dyDescent="0.25">
      <c r="A16" s="2" t="s">
        <v>116</v>
      </c>
      <c r="C16" s="405" t="s">
        <v>66</v>
      </c>
      <c r="E16" s="2" t="s">
        <v>117</v>
      </c>
      <c r="F16" s="452"/>
      <c r="G16" s="452"/>
      <c r="S16" s="256" t="s">
        <v>118</v>
      </c>
      <c r="T16" s="411"/>
      <c r="U16" s="257" t="s">
        <v>119</v>
      </c>
      <c r="W16" s="1"/>
      <c r="Z16" s="59"/>
      <c r="AA16" s="59"/>
      <c r="AB16" s="58" t="s">
        <v>120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27"/>
      <c r="D17" s="168" t="str">
        <f>IF(C17&gt;1,"",IF(A17="13ème salaire","à choisir",""))</f>
        <v/>
      </c>
      <c r="H17" s="167"/>
      <c r="W17" s="1"/>
      <c r="X17" s="59"/>
      <c r="Y17" s="59"/>
      <c r="Z17" s="59"/>
      <c r="AA17" s="59"/>
      <c r="AB17" s="59" t="s">
        <v>121</v>
      </c>
      <c r="AC17" s="59"/>
      <c r="AD17" s="59"/>
    </row>
    <row r="18" spans="1:37" s="2" customFormat="1" x14ac:dyDescent="0.2">
      <c r="H18" s="167"/>
      <c r="M18" s="167"/>
      <c r="S18" s="469" t="s">
        <v>122</v>
      </c>
      <c r="T18" s="470"/>
      <c r="U18" s="471"/>
      <c r="V18" s="334"/>
      <c r="X18" s="153"/>
      <c r="Y18" s="154"/>
      <c r="Z18" s="59"/>
      <c r="AA18" s="59"/>
      <c r="AB18" s="2" t="s">
        <v>123</v>
      </c>
      <c r="AD18" s="59"/>
      <c r="AE18" s="59"/>
    </row>
    <row r="19" spans="1:37" s="2" customFormat="1" ht="15" x14ac:dyDescent="0.25">
      <c r="A19" s="41" t="s">
        <v>124</v>
      </c>
      <c r="B19" s="41"/>
      <c r="C19" s="52"/>
      <c r="D19" s="52"/>
      <c r="E19" s="52"/>
      <c r="F19" s="52"/>
      <c r="G19" s="52"/>
      <c r="H19" s="52"/>
      <c r="I19" s="41" t="s">
        <v>124</v>
      </c>
      <c r="J19" s="41"/>
      <c r="K19" s="52"/>
      <c r="L19" s="52"/>
      <c r="M19" s="52"/>
      <c r="N19" s="52"/>
      <c r="O19" s="52"/>
      <c r="P19" s="52"/>
      <c r="Q19" s="52"/>
      <c r="S19" s="258"/>
      <c r="U19" s="259"/>
      <c r="X19" s="153"/>
      <c r="Y19" s="154"/>
      <c r="Z19" s="59"/>
      <c r="AA19" s="59"/>
      <c r="AB19" s="59" t="s">
        <v>125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2"/>
      <c r="U20" s="463"/>
      <c r="V20" s="404"/>
      <c r="X20" s="153"/>
      <c r="Y20" s="154"/>
      <c r="Z20" s="59"/>
      <c r="AA20" s="59"/>
      <c r="AB20" s="59"/>
      <c r="AD20" s="59"/>
      <c r="AE20" s="59"/>
    </row>
    <row r="21" spans="1:37" s="2" customFormat="1" ht="12" x14ac:dyDescent="0.2">
      <c r="A21" s="306">
        <f>D1</f>
        <v>45657</v>
      </c>
      <c r="B21" s="265"/>
      <c r="C21" s="82">
        <v>45292</v>
      </c>
      <c r="D21" s="82">
        <v>45323</v>
      </c>
      <c r="E21" s="82">
        <v>45352</v>
      </c>
      <c r="F21" s="82">
        <v>45383</v>
      </c>
      <c r="G21" s="82">
        <v>45413</v>
      </c>
      <c r="H21" s="69">
        <v>45444</v>
      </c>
      <c r="I21" s="306">
        <f t="shared" ref="I21:I52" si="0">A21</f>
        <v>45657</v>
      </c>
      <c r="J21" s="265"/>
      <c r="K21" s="82">
        <v>45474</v>
      </c>
      <c r="L21" s="82">
        <v>45505</v>
      </c>
      <c r="M21" s="82">
        <v>45536</v>
      </c>
      <c r="N21" s="82">
        <v>45566</v>
      </c>
      <c r="O21" s="82">
        <v>45597</v>
      </c>
      <c r="P21" s="69">
        <v>45627</v>
      </c>
      <c r="Q21" s="97" t="s">
        <v>126</v>
      </c>
      <c r="S21" s="461"/>
      <c r="T21" s="462"/>
      <c r="U21" s="463"/>
      <c r="V21" s="404"/>
      <c r="W21" s="2">
        <f>IF(S20="Hinweis: Wenn der AHV Freibetrag nicht überschritten wird, muss ein Lohnausweis erstellt werden!",1,IF(S20=0,0,5))</f>
        <v>0</v>
      </c>
      <c r="X21" s="153"/>
      <c r="Y21" s="154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07" t="str">
        <f>IF($C$16="Salaire horaire","",IF(C16="à choisir","","Salaire mensuel"))</f>
        <v/>
      </c>
      <c r="B22" s="266" t="str">
        <f>IF(A22="Salaire mensuel","CHF"," ")</f>
        <v xml:space="preserve"> </v>
      </c>
      <c r="C22" s="281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1">
        <f t="shared" si="1"/>
        <v>0</v>
      </c>
      <c r="E22" s="281">
        <f t="shared" si="1"/>
        <v>0</v>
      </c>
      <c r="F22" s="281">
        <f t="shared" si="1"/>
        <v>0</v>
      </c>
      <c r="G22" s="281">
        <f t="shared" si="1"/>
        <v>0</v>
      </c>
      <c r="H22" s="282">
        <f t="shared" si="1"/>
        <v>0</v>
      </c>
      <c r="I22" s="308" t="str">
        <f t="shared" si="0"/>
        <v/>
      </c>
      <c r="J22" s="266" t="str">
        <f>IF(I22="Salaire mensuel","CHF"," ")</f>
        <v xml:space="preserve"> </v>
      </c>
      <c r="K22" s="281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2">
        <f t="shared" si="2"/>
        <v>0</v>
      </c>
      <c r="Q22" s="298">
        <f t="shared" ref="Q22:Q37" si="3">ROUND((SUM(C22:H22)+SUM(K22:P22))*20,0)/20</f>
        <v>0</v>
      </c>
      <c r="S22" s="461"/>
      <c r="T22" s="462"/>
      <c r="U22" s="463"/>
      <c r="V22" s="404"/>
      <c r="X22" s="153"/>
      <c r="Y22" s="154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07" t="str">
        <f>IF($C$16="Salaire horaire","",(IF($C$17="oui","13. Salaire mensuel","")))</f>
        <v/>
      </c>
      <c r="B23" s="266" t="str">
        <f>IF(A23="13. Salaire mensuel","CHF"," ")</f>
        <v xml:space="preserve"> </v>
      </c>
      <c r="C23" s="281">
        <f>IF(OR($C$16="Salaire horaire",$C$16="à choisir"),0,(IF($C$17="oui",(C$22+C32+C33)/12,"")))</f>
        <v>0</v>
      </c>
      <c r="D23" s="283">
        <f t="shared" ref="D23:H23" si="4">IF(OR($C$16="Salaire horaire",$C$16="à choisir"),0,(IF($C$17="oui",(D$22+D32+D33)/12,"")))</f>
        <v>0</v>
      </c>
      <c r="E23" s="283">
        <f t="shared" si="4"/>
        <v>0</v>
      </c>
      <c r="F23" s="283">
        <f t="shared" si="4"/>
        <v>0</v>
      </c>
      <c r="G23" s="283">
        <f t="shared" si="4"/>
        <v>0</v>
      </c>
      <c r="H23" s="282">
        <f t="shared" si="4"/>
        <v>0</v>
      </c>
      <c r="I23" s="308" t="str">
        <f t="shared" si="0"/>
        <v/>
      </c>
      <c r="J23" s="266" t="str">
        <f>IF(I23="13. Salaire mensuel","CHF"," ")</f>
        <v xml:space="preserve"> </v>
      </c>
      <c r="K23" s="283">
        <f t="shared" ref="K23:P23" si="5">IF(OR($C$16="Salaire horaire",$C$16="à choisir"),0,(IF($C$17="oui",(K$22+K32+K33)/12,"")))</f>
        <v>0</v>
      </c>
      <c r="L23" s="283">
        <f t="shared" si="5"/>
        <v>0</v>
      </c>
      <c r="M23" s="283">
        <f t="shared" si="5"/>
        <v>0</v>
      </c>
      <c r="N23" s="299">
        <f t="shared" si="5"/>
        <v>0</v>
      </c>
      <c r="O23" s="283">
        <f t="shared" si="5"/>
        <v>0</v>
      </c>
      <c r="P23" s="282">
        <f t="shared" si="5"/>
        <v>0</v>
      </c>
      <c r="Q23" s="236">
        <f t="shared" si="3"/>
        <v>0</v>
      </c>
      <c r="S23" s="258"/>
      <c r="U23" s="259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0" t="str">
        <f>IF(G11="oui","Nombre d'heures 
de garde","")</f>
        <v/>
      </c>
      <c r="B24" s="369" t="str">
        <f>IF(A24="Nombre d'heures 
de garde","h"," ")</f>
        <v xml:space="preserve"> </v>
      </c>
      <c r="C24" s="283"/>
      <c r="D24" s="283"/>
      <c r="E24" s="283"/>
      <c r="F24" s="283"/>
      <c r="G24" s="283"/>
      <c r="H24" s="282"/>
      <c r="I24" s="370" t="str">
        <f t="shared" si="0"/>
        <v/>
      </c>
      <c r="J24" s="369" t="str">
        <f>B24</f>
        <v xml:space="preserve"> </v>
      </c>
      <c r="K24" s="283"/>
      <c r="L24" s="283"/>
      <c r="M24" s="283"/>
      <c r="N24" s="283"/>
      <c r="O24" s="283"/>
      <c r="P24" s="282"/>
      <c r="Q24" s="300">
        <f t="shared" si="3"/>
        <v>0</v>
      </c>
      <c r="S24" s="461">
        <f>IF(OR(AND(Z6="simplifiée",'PA 1'!Z6="simplifiée",'PA 3'!Z6="simplifiée",'PA 4'!Z6="simplifiée",'PA 5'!Z6="simplifiée",'PA 6'!Z6="simplifiée",'PA 7'!Z6="simplifiée",'PA 8'!Z6="simplifiée",'PA 2'!Z6="simplifiée"),(AND(Z7="ordinaire",'PA 1'!Z7="ordinaire",'PA 3'!Z7="ordinaire",'PA 4'!Z7="ordinaire",'PA 5'!Z7="ordinaire",'PA 6'!Z7="ordinaire",'PA 7'!Z7="ordinaire",'PA 8'!Z7="ordinaire",'PA 2'!Z7="ordinaire"))),0,"ATTENTION: la même procédure de décompte AVS doit être utilisée pour tous les prestataires d’assistance!")</f>
        <v>0</v>
      </c>
      <c r="T24" s="462"/>
      <c r="U24" s="463"/>
      <c r="V24" s="404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0" t="str">
        <f>IF(AND(C16="Salaire mensuel",G12="oui"),"Nombre d'engagements de nuit",IF(P10&gt;0.1,"Nombre d'engagements de nuit",""))</f>
        <v/>
      </c>
      <c r="B25" s="266" t="str">
        <f>IF(A25="Nombre d'engagements de nuit","Nb."," ")</f>
        <v xml:space="preserve"> </v>
      </c>
      <c r="C25" s="284"/>
      <c r="D25" s="284"/>
      <c r="E25" s="284"/>
      <c r="F25" s="284"/>
      <c r="G25" s="284"/>
      <c r="H25" s="285"/>
      <c r="I25" s="370" t="str">
        <f t="shared" si="0"/>
        <v/>
      </c>
      <c r="J25" s="266" t="str">
        <f>B25</f>
        <v xml:space="preserve"> </v>
      </c>
      <c r="K25" s="284"/>
      <c r="L25" s="284"/>
      <c r="M25" s="284"/>
      <c r="N25" s="284"/>
      <c r="O25" s="284"/>
      <c r="P25" s="301"/>
      <c r="Q25" s="298">
        <f t="shared" si="3"/>
        <v>0</v>
      </c>
      <c r="R25" s="76"/>
      <c r="S25" s="461"/>
      <c r="T25" s="462"/>
      <c r="U25" s="463"/>
      <c r="V25" s="404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08" t="str">
        <f>IF(AND($C$16="Salaire mensuel",$G$12="oui"),"Nombre d'heures",IF(C16="Salaire horaire",IF(G10="oui","Nombre d'heures I","Nombre d'heures"),""))</f>
        <v/>
      </c>
      <c r="B26" s="267" t="str">
        <f>IF(OR(A26="Nombre d'heures Standard",A26="Nombre d'heures",A26="Nombre d'heures I"),"h"," ")</f>
        <v xml:space="preserve"> </v>
      </c>
      <c r="C26" s="283"/>
      <c r="D26" s="283"/>
      <c r="E26" s="283"/>
      <c r="F26" s="283"/>
      <c r="G26" s="283"/>
      <c r="H26" s="282"/>
      <c r="I26" s="308" t="str">
        <f t="shared" si="0"/>
        <v/>
      </c>
      <c r="J26" s="267" t="str">
        <f>IF(OR(I26="Nombre d'heures Standard",I26="Nombre d'heures",I26="Nombre d'heures I"),"h"," ")</f>
        <v xml:space="preserve"> </v>
      </c>
      <c r="K26" s="283"/>
      <c r="L26" s="283"/>
      <c r="M26" s="283"/>
      <c r="N26" s="283"/>
      <c r="O26" s="283"/>
      <c r="P26" s="282"/>
      <c r="Q26" s="300">
        <f t="shared" si="3"/>
        <v>0</v>
      </c>
      <c r="R26" s="76"/>
      <c r="S26" s="461"/>
      <c r="T26" s="462"/>
      <c r="U26" s="463"/>
      <c r="V26" s="404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08" t="str">
        <f>IF($C$16="Salaire horaire",IF(G10="oui","Salaire horaire I","Salaire horaire"),"")</f>
        <v/>
      </c>
      <c r="B27" s="266" t="str">
        <f>IF(OR(A27="Salaire horaire Standard",A27="Salaire horaire",A27="Salaire horaire I"),"CHF"," ")</f>
        <v xml:space="preserve"> </v>
      </c>
      <c r="C27" s="233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3" t="str">
        <f t="shared" si="6"/>
        <v/>
      </c>
      <c r="E27" s="233" t="str">
        <f t="shared" si="6"/>
        <v/>
      </c>
      <c r="F27" s="233" t="str">
        <f t="shared" si="6"/>
        <v/>
      </c>
      <c r="G27" s="233" t="str">
        <f t="shared" si="6"/>
        <v/>
      </c>
      <c r="H27" s="234" t="str">
        <f t="shared" si="6"/>
        <v/>
      </c>
      <c r="I27" s="308" t="str">
        <f t="shared" si="0"/>
        <v/>
      </c>
      <c r="J27" s="266" t="str">
        <f>IF(OR(I27="Salaire horaire Standard",I27="Salaire horaire",I27="Salaire horaire I"),"CHF"," ")</f>
        <v xml:space="preserve"> </v>
      </c>
      <c r="K27" s="233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3" t="str">
        <f t="shared" si="7"/>
        <v/>
      </c>
      <c r="M27" s="233" t="str">
        <f t="shared" si="7"/>
        <v/>
      </c>
      <c r="N27" s="233" t="str">
        <f t="shared" si="7"/>
        <v/>
      </c>
      <c r="O27" s="233" t="str">
        <f t="shared" si="7"/>
        <v/>
      </c>
      <c r="P27" s="234" t="str">
        <f t="shared" si="7"/>
        <v/>
      </c>
      <c r="Q27" s="300">
        <f t="shared" si="3"/>
        <v>0</v>
      </c>
      <c r="R27" s="76"/>
      <c r="S27" s="258"/>
      <c r="T27" s="2"/>
      <c r="U27" s="259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08" t="str">
        <f>IF(G10="oui","Nombre d'heures II","")</f>
        <v/>
      </c>
      <c r="B28" s="267" t="str">
        <f>IF(OR(A28="Nombre d'heures Quali B",A28="Nombre d'heures II"),"h"," ")</f>
        <v xml:space="preserve"> </v>
      </c>
      <c r="C28" s="283"/>
      <c r="D28" s="283"/>
      <c r="E28" s="283"/>
      <c r="F28" s="283"/>
      <c r="G28" s="283"/>
      <c r="H28" s="282"/>
      <c r="I28" s="308" t="str">
        <f t="shared" si="0"/>
        <v/>
      </c>
      <c r="J28" s="267" t="str">
        <f>IF(OR(I28="Nombre d'heures Quali B",I28="Nombre d'heures II"),"h"," ")</f>
        <v xml:space="preserve"> </v>
      </c>
      <c r="K28" s="283"/>
      <c r="L28" s="283"/>
      <c r="M28" s="283"/>
      <c r="N28" s="299"/>
      <c r="O28" s="283"/>
      <c r="P28" s="282"/>
      <c r="Q28" s="300">
        <f t="shared" si="3"/>
        <v>0</v>
      </c>
      <c r="R28" s="78"/>
      <c r="S28" s="461">
        <f>IF(AND(AC6="oui",(G12="oui")),"ATTENTION: le salaire des proches ne doit pas réglé au contributin d'assistance AI",0)</f>
        <v>0</v>
      </c>
      <c r="T28" s="462"/>
      <c r="U28" s="463"/>
      <c r="V28" s="404"/>
      <c r="W28" s="78"/>
      <c r="X28" s="101"/>
      <c r="Y28" s="98"/>
    </row>
    <row r="29" spans="1:37" s="6" customFormat="1" x14ac:dyDescent="0.2">
      <c r="A29" s="308" t="str">
        <f>IF(G10="oui","Salaire horaire II","")</f>
        <v/>
      </c>
      <c r="B29" s="266" t="str">
        <f>IF(OR(A29="Salaire horaire Quali B",A29="Salaire horaire II"),"CHF"," ")</f>
        <v xml:space="preserve"> </v>
      </c>
      <c r="C29" s="233" t="str">
        <f t="shared" ref="C29:H29" si="8">IF($C$16="Salaire horaire",(IF(OR((DATEDIF($F$7,C21,"Y")&lt;20),(DATEDIF($F$7,C21,"Y")&gt;49)),$M$13/110.64%*(C28),$M$13/108.33%*(C28))),"")</f>
        <v/>
      </c>
      <c r="D29" s="233" t="str">
        <f t="shared" si="8"/>
        <v/>
      </c>
      <c r="E29" s="233" t="str">
        <f t="shared" si="8"/>
        <v/>
      </c>
      <c r="F29" s="233" t="str">
        <f t="shared" si="8"/>
        <v/>
      </c>
      <c r="G29" s="233" t="str">
        <f t="shared" si="8"/>
        <v/>
      </c>
      <c r="H29" s="234" t="str">
        <f t="shared" si="8"/>
        <v/>
      </c>
      <c r="I29" s="308" t="str">
        <f t="shared" si="0"/>
        <v/>
      </c>
      <c r="J29" s="266" t="str">
        <f>IF(OR(I29="Salaire horaire Quali B",I29="Salaire horaire II"),"CHF"," ")</f>
        <v xml:space="preserve"> </v>
      </c>
      <c r="K29" s="233" t="str">
        <f t="shared" ref="K29:P29" si="9">IF($C$16="Salaire horaire",(IF(OR((DATEDIF($F$7,K21,"Y")&lt;20),(DATEDIF($F$7,K21,"Y")&gt;49)),$M$13/110.64%*(K28),$M$13/108.33%*(K28))),"")</f>
        <v/>
      </c>
      <c r="L29" s="233" t="str">
        <f t="shared" si="9"/>
        <v/>
      </c>
      <c r="M29" s="233" t="str">
        <f t="shared" si="9"/>
        <v/>
      </c>
      <c r="N29" s="233" t="str">
        <f t="shared" si="9"/>
        <v/>
      </c>
      <c r="O29" s="233" t="str">
        <f t="shared" si="9"/>
        <v/>
      </c>
      <c r="P29" s="234" t="str">
        <f t="shared" si="9"/>
        <v/>
      </c>
      <c r="Q29" s="300">
        <f t="shared" si="3"/>
        <v>0</v>
      </c>
      <c r="R29" s="65"/>
      <c r="S29" s="461"/>
      <c r="T29" s="462"/>
      <c r="U29" s="463"/>
      <c r="V29" s="404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08" t="str">
        <f>IF($C$16="Salaire horaire","Supplément de vacances","")</f>
        <v/>
      </c>
      <c r="B30" s="266" t="str">
        <f>IF(A30="Supplément de vacances","CHF"," ")</f>
        <v xml:space="preserve"> </v>
      </c>
      <c r="C30" s="233">
        <f t="shared" ref="C30:H30" si="10">IF($C$16="Salaire horaire",(ROUND(IF(OR((DATEDIF($F$7,C$21,"Y")&lt;20),(DATEDIF($F$7,C$21,"Y")&gt;49)),(C$27+C$29)*10.64%,(C$27+C$29)*8.33%),2)),)</f>
        <v>0</v>
      </c>
      <c r="D30" s="233">
        <f t="shared" si="10"/>
        <v>0</v>
      </c>
      <c r="E30" s="233">
        <f t="shared" si="10"/>
        <v>0</v>
      </c>
      <c r="F30" s="233">
        <f t="shared" si="10"/>
        <v>0</v>
      </c>
      <c r="G30" s="233">
        <f t="shared" si="10"/>
        <v>0</v>
      </c>
      <c r="H30" s="234">
        <f t="shared" si="10"/>
        <v>0</v>
      </c>
      <c r="I30" s="308" t="str">
        <f t="shared" si="0"/>
        <v/>
      </c>
      <c r="J30" s="266" t="str">
        <f>IF(I30="Supplément de vacances","CHF"," ")</f>
        <v xml:space="preserve"> </v>
      </c>
      <c r="K30" s="233">
        <f t="shared" ref="K30:P30" si="11">IF($C$16="Salaire horaire",(ROUND(IF(OR((DATEDIF($F$7,K$21,"Y")&lt;20),(DATEDIF($F$7,K$21,"Y")&gt;49)),(K$27+K$29)*10.64%,(K$27+K$29)*8.33%),2)),)</f>
        <v>0</v>
      </c>
      <c r="L30" s="233">
        <f t="shared" si="11"/>
        <v>0</v>
      </c>
      <c r="M30" s="233">
        <f t="shared" si="11"/>
        <v>0</v>
      </c>
      <c r="N30" s="233">
        <f t="shared" si="11"/>
        <v>0</v>
      </c>
      <c r="O30" s="233">
        <f t="shared" si="11"/>
        <v>0</v>
      </c>
      <c r="P30" s="234">
        <f t="shared" si="11"/>
        <v>0</v>
      </c>
      <c r="Q30" s="300">
        <f t="shared" si="3"/>
        <v>0</v>
      </c>
      <c r="R30" s="65"/>
      <c r="S30" s="461"/>
      <c r="T30" s="462"/>
      <c r="U30" s="463"/>
      <c r="V30" s="404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09" t="s">
        <v>127</v>
      </c>
      <c r="B31" s="267" t="s">
        <v>128</v>
      </c>
      <c r="C31" s="412"/>
      <c r="D31" s="413"/>
      <c r="E31" s="413"/>
      <c r="F31" s="413"/>
      <c r="G31" s="413"/>
      <c r="H31" s="414"/>
      <c r="I31" s="309" t="str">
        <f t="shared" si="0"/>
        <v>Repas &amp; logement</v>
      </c>
      <c r="J31" s="267" t="s">
        <v>128</v>
      </c>
      <c r="K31" s="412"/>
      <c r="L31" s="412"/>
      <c r="M31" s="412"/>
      <c r="N31" s="412"/>
      <c r="O31" s="412"/>
      <c r="P31" s="414"/>
      <c r="Q31" s="83">
        <f t="shared" si="3"/>
        <v>0</v>
      </c>
      <c r="R31" s="65"/>
      <c r="S31" s="457">
        <f>IF(AND(M7+M12&gt;8,T11=0),"Remarque: à partir de 8 heures de travail effectives par semaine, l’employé doit avoir souscrit une assurance-accidents non professionnels!",0)</f>
        <v>0</v>
      </c>
      <c r="T31" s="458"/>
      <c r="U31" s="459"/>
      <c r="V31" s="403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09" t="s">
        <v>129</v>
      </c>
      <c r="B32" s="268" t="s">
        <v>128</v>
      </c>
      <c r="C32" s="412"/>
      <c r="D32" s="413"/>
      <c r="E32" s="413"/>
      <c r="F32" s="413"/>
      <c r="G32" s="413"/>
      <c r="H32" s="415"/>
      <c r="I32" s="309" t="str">
        <f t="shared" si="0"/>
        <v>Oblig. de verser le salaire (art. 324a CO) (soumis à l'AVS)</v>
      </c>
      <c r="J32" s="268" t="s">
        <v>128</v>
      </c>
      <c r="K32" s="413"/>
      <c r="L32" s="413"/>
      <c r="M32" s="413"/>
      <c r="N32" s="416"/>
      <c r="O32" s="413"/>
      <c r="P32" s="415"/>
      <c r="Q32" s="70">
        <f t="shared" si="3"/>
        <v>0</v>
      </c>
      <c r="R32" s="65"/>
      <c r="S32" s="457"/>
      <c r="T32" s="458"/>
      <c r="U32" s="459"/>
      <c r="V32" s="403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09" t="s">
        <v>130</v>
      </c>
      <c r="B33" s="268" t="s">
        <v>128</v>
      </c>
      <c r="C33" s="412"/>
      <c r="D33" s="413"/>
      <c r="E33" s="413"/>
      <c r="F33" s="413"/>
      <c r="G33" s="413"/>
      <c r="H33" s="415"/>
      <c r="I33" s="309" t="str">
        <f t="shared" si="0"/>
        <v>Oblig. de verser le salaire
(soumis à l'AVS)</v>
      </c>
      <c r="J33" s="268" t="s">
        <v>128</v>
      </c>
      <c r="K33" s="413"/>
      <c r="L33" s="413"/>
      <c r="M33" s="413"/>
      <c r="N33" s="416"/>
      <c r="O33" s="413"/>
      <c r="P33" s="415"/>
      <c r="Q33" s="70">
        <f t="shared" si="3"/>
        <v>0</v>
      </c>
      <c r="R33" s="65"/>
      <c r="S33" s="457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8"/>
      <c r="U33" s="459"/>
      <c r="V33" s="403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36" x14ac:dyDescent="0.2">
      <c r="A34" s="310" t="s">
        <v>131</v>
      </c>
      <c r="B34" s="269" t="s">
        <v>128</v>
      </c>
      <c r="C34" s="412"/>
      <c r="D34" s="413"/>
      <c r="E34" s="413"/>
      <c r="F34" s="413"/>
      <c r="G34" s="413"/>
      <c r="H34" s="415"/>
      <c r="I34" s="310" t="str">
        <f t="shared" si="0"/>
        <v>Allocation maternité / militaire (soumis à l'AVS)</v>
      </c>
      <c r="J34" s="269" t="s">
        <v>128</v>
      </c>
      <c r="K34" s="413"/>
      <c r="L34" s="413"/>
      <c r="M34" s="413"/>
      <c r="N34" s="416"/>
      <c r="O34" s="413"/>
      <c r="P34" s="415"/>
      <c r="Q34" s="70">
        <f t="shared" si="3"/>
        <v>0</v>
      </c>
      <c r="R34" s="57"/>
      <c r="S34" s="457"/>
      <c r="T34" s="458"/>
      <c r="U34" s="459"/>
      <c r="V34" s="403"/>
      <c r="W34" s="2">
        <f>IF(S33&gt;1,1,0)</f>
        <v>0</v>
      </c>
      <c r="X34" s="101"/>
      <c r="Y34" s="110">
        <f t="shared" ref="Y34:AD34" si="12">C21</f>
        <v>45292</v>
      </c>
      <c r="Z34" s="110">
        <f t="shared" si="12"/>
        <v>45323</v>
      </c>
      <c r="AA34" s="110">
        <f t="shared" si="12"/>
        <v>45352</v>
      </c>
      <c r="AB34" s="110">
        <f t="shared" si="12"/>
        <v>45383</v>
      </c>
      <c r="AC34" s="110">
        <f t="shared" si="12"/>
        <v>45413</v>
      </c>
      <c r="AD34" s="110">
        <f t="shared" si="12"/>
        <v>45444</v>
      </c>
      <c r="AE34" s="110">
        <f t="shared" ref="AE34:AJ34" si="13">K21</f>
        <v>45474</v>
      </c>
      <c r="AF34" s="110">
        <f t="shared" si="13"/>
        <v>45505</v>
      </c>
      <c r="AG34" s="110">
        <f t="shared" si="13"/>
        <v>45536</v>
      </c>
      <c r="AH34" s="110">
        <f t="shared" si="13"/>
        <v>45566</v>
      </c>
      <c r="AI34" s="110">
        <f t="shared" si="13"/>
        <v>45597</v>
      </c>
      <c r="AJ34" s="110">
        <f t="shared" si="13"/>
        <v>45627</v>
      </c>
    </row>
    <row r="35" spans="1:37" s="2" customFormat="1" ht="24" x14ac:dyDescent="0.2">
      <c r="A35" s="310" t="s">
        <v>132</v>
      </c>
      <c r="B35" s="269" t="s">
        <v>128</v>
      </c>
      <c r="C35" s="412"/>
      <c r="D35" s="413"/>
      <c r="E35" s="413"/>
      <c r="F35" s="413"/>
      <c r="G35" s="413"/>
      <c r="H35" s="415"/>
      <c r="I35" s="310" t="str">
        <f t="shared" si="0"/>
        <v>Indemnité d'assurance
(non soumis AVS)</v>
      </c>
      <c r="J35" s="269" t="s">
        <v>128</v>
      </c>
      <c r="K35" s="413"/>
      <c r="L35" s="413"/>
      <c r="M35" s="413"/>
      <c r="N35" s="416"/>
      <c r="O35" s="413"/>
      <c r="P35" s="415"/>
      <c r="Q35" s="70">
        <f t="shared" si="3"/>
        <v>0</v>
      </c>
      <c r="R35" s="57"/>
      <c r="S35" s="457"/>
      <c r="T35" s="458"/>
      <c r="U35" s="459"/>
      <c r="V35" s="403"/>
      <c r="W35" s="57"/>
      <c r="X35" s="101" t="s">
        <v>133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08" t="s">
        <v>134</v>
      </c>
      <c r="B36" s="267" t="s">
        <v>128</v>
      </c>
      <c r="C36" s="412"/>
      <c r="D36" s="413"/>
      <c r="E36" s="413"/>
      <c r="F36" s="413"/>
      <c r="G36" s="413"/>
      <c r="H36" s="415"/>
      <c r="I36" s="308" t="str">
        <f t="shared" si="0"/>
        <v>Allocations familiales</v>
      </c>
      <c r="J36" s="267" t="s">
        <v>128</v>
      </c>
      <c r="K36" s="413"/>
      <c r="L36" s="413"/>
      <c r="M36" s="413"/>
      <c r="N36" s="416"/>
      <c r="O36" s="413"/>
      <c r="P36" s="415"/>
      <c r="Q36" s="70">
        <f t="shared" si="3"/>
        <v>0</v>
      </c>
      <c r="R36" s="57"/>
      <c r="S36" s="457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8"/>
      <c r="U36" s="459"/>
      <c r="V36" s="403"/>
      <c r="W36" s="57"/>
      <c r="X36" s="105" t="s">
        <v>135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1" t="s">
        <v>136</v>
      </c>
      <c r="B37" s="270" t="s">
        <v>128</v>
      </c>
      <c r="C37" s="286">
        <f t="shared" ref="C37:H37" si="17">IF($C$16="Salaire horaire",SUM(C27,C29,C30,C31,C32,C33,C34,C35,C36),SUM(C22,C23,C30,C31,C32,C33,C34,C35,C36))</f>
        <v>0</v>
      </c>
      <c r="D37" s="286">
        <f t="shared" si="17"/>
        <v>0</v>
      </c>
      <c r="E37" s="286">
        <f t="shared" si="17"/>
        <v>0</v>
      </c>
      <c r="F37" s="286">
        <f t="shared" si="17"/>
        <v>0</v>
      </c>
      <c r="G37" s="286">
        <f t="shared" si="17"/>
        <v>0</v>
      </c>
      <c r="H37" s="238">
        <f t="shared" si="17"/>
        <v>0</v>
      </c>
      <c r="I37" s="311" t="str">
        <f t="shared" si="0"/>
        <v>Salaire brut</v>
      </c>
      <c r="J37" s="270" t="s">
        <v>128</v>
      </c>
      <c r="K37" s="286">
        <f t="shared" ref="K37:P37" si="18">IF($C$16="Salaire horaire",SUM(K27,K29,K30,K31,K32,K33,K34,K35,K36),SUM(K22,K23,K30,K31,K32,K33,K34,K35,K36))</f>
        <v>0</v>
      </c>
      <c r="L37" s="286">
        <f t="shared" si="18"/>
        <v>0</v>
      </c>
      <c r="M37" s="286">
        <f t="shared" si="18"/>
        <v>0</v>
      </c>
      <c r="N37" s="302">
        <f t="shared" si="18"/>
        <v>0</v>
      </c>
      <c r="O37" s="286">
        <f t="shared" si="18"/>
        <v>0</v>
      </c>
      <c r="P37" s="238">
        <f t="shared" si="18"/>
        <v>0</v>
      </c>
      <c r="Q37" s="238">
        <f t="shared" si="3"/>
        <v>0</v>
      </c>
      <c r="R37" s="57"/>
      <c r="S37" s="457"/>
      <c r="T37" s="458"/>
      <c r="U37" s="459"/>
      <c r="V37" s="403"/>
      <c r="W37" s="2">
        <f>IF(S36&gt;1,5,0)</f>
        <v>0</v>
      </c>
      <c r="X37" s="101" t="s">
        <v>137</v>
      </c>
      <c r="Y37" s="163">
        <f t="shared" ref="Y37:AD37" si="19">IF(Y35=0,0,IF($C$16="Salaire horaire",SUM(C27,C29,C30,C31,C32,C33,C34),SUM(C22,C23,C30,C31,C32,C33,C34)))</f>
        <v>0</v>
      </c>
      <c r="Z37" s="163">
        <f t="shared" si="19"/>
        <v>0</v>
      </c>
      <c r="AA37" s="163">
        <f t="shared" si="19"/>
        <v>0</v>
      </c>
      <c r="AB37" s="163">
        <f t="shared" si="19"/>
        <v>0</v>
      </c>
      <c r="AC37" s="163">
        <f t="shared" si="19"/>
        <v>0</v>
      </c>
      <c r="AD37" s="163">
        <f t="shared" si="19"/>
        <v>0</v>
      </c>
      <c r="AE37" s="163">
        <f t="shared" ref="AE37:AJ37" si="20">IF(AE35=0,0,IF($C$16="Salaire horaire",SUM(K27,K29,K30,K31,K32,K33,K34),SUM(K22,K23,K30,K31,K32,K33,K34)))</f>
        <v>0</v>
      </c>
      <c r="AF37" s="163">
        <f t="shared" si="20"/>
        <v>0</v>
      </c>
      <c r="AG37" s="163">
        <f t="shared" si="20"/>
        <v>0</v>
      </c>
      <c r="AH37" s="163">
        <f t="shared" si="20"/>
        <v>0</v>
      </c>
      <c r="AI37" s="163">
        <f t="shared" si="20"/>
        <v>0</v>
      </c>
      <c r="AJ37" s="163">
        <f t="shared" si="20"/>
        <v>0</v>
      </c>
    </row>
    <row r="38" spans="1:37" s="2" customFormat="1" ht="12" x14ac:dyDescent="0.2">
      <c r="A38" s="308" t="s">
        <v>138</v>
      </c>
      <c r="B38" s="271" t="s">
        <v>128</v>
      </c>
      <c r="C38" s="430">
        <f t="shared" ref="C38:H38" si="21">Y42</f>
        <v>0</v>
      </c>
      <c r="D38" s="430">
        <f t="shared" si="21"/>
        <v>0</v>
      </c>
      <c r="E38" s="430">
        <f t="shared" si="21"/>
        <v>0</v>
      </c>
      <c r="F38" s="430">
        <f t="shared" si="21"/>
        <v>0</v>
      </c>
      <c r="G38" s="430">
        <f t="shared" si="21"/>
        <v>0</v>
      </c>
      <c r="H38" s="431">
        <f t="shared" si="21"/>
        <v>0</v>
      </c>
      <c r="I38" s="308" t="str">
        <f t="shared" si="0"/>
        <v>Franchise rentier AVS</v>
      </c>
      <c r="J38" s="271" t="s">
        <v>128</v>
      </c>
      <c r="K38" s="430">
        <f t="shared" ref="K38:P38" si="22">AE42</f>
        <v>0</v>
      </c>
      <c r="L38" s="430">
        <f t="shared" si="22"/>
        <v>0</v>
      </c>
      <c r="M38" s="430">
        <f t="shared" si="22"/>
        <v>0</v>
      </c>
      <c r="N38" s="430">
        <f t="shared" si="22"/>
        <v>0</v>
      </c>
      <c r="O38" s="430">
        <f t="shared" si="22"/>
        <v>0</v>
      </c>
      <c r="P38" s="432">
        <f t="shared" si="22"/>
        <v>0</v>
      </c>
      <c r="Q38" s="303">
        <f>SUM(C38:H38)+SUM(K38:P38)</f>
        <v>0</v>
      </c>
      <c r="R38" s="57"/>
      <c r="S38" s="457"/>
      <c r="T38" s="458"/>
      <c r="U38" s="459"/>
      <c r="V38" s="403"/>
      <c r="W38" s="57"/>
      <c r="X38" s="2" t="s">
        <v>139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1" t="s">
        <v>140</v>
      </c>
      <c r="B39" s="270" t="s">
        <v>128</v>
      </c>
      <c r="C39" s="286">
        <f t="shared" ref="C39:H39" si="24">C37-C36-C35-C38</f>
        <v>0</v>
      </c>
      <c r="D39" s="286">
        <f t="shared" si="24"/>
        <v>0</v>
      </c>
      <c r="E39" s="286">
        <f t="shared" si="24"/>
        <v>0</v>
      </c>
      <c r="F39" s="286">
        <f t="shared" si="24"/>
        <v>0</v>
      </c>
      <c r="G39" s="286">
        <f t="shared" si="24"/>
        <v>0</v>
      </c>
      <c r="H39" s="238">
        <f t="shared" si="24"/>
        <v>0</v>
      </c>
      <c r="I39" s="311" t="str">
        <f t="shared" si="0"/>
        <v>AVS montant brut</v>
      </c>
      <c r="J39" s="270" t="s">
        <v>128</v>
      </c>
      <c r="K39" s="286">
        <f t="shared" ref="K39:P39" si="25">K37-K36-K35-K38</f>
        <v>0</v>
      </c>
      <c r="L39" s="286">
        <f t="shared" si="25"/>
        <v>0</v>
      </c>
      <c r="M39" s="286">
        <f t="shared" si="25"/>
        <v>0</v>
      </c>
      <c r="N39" s="302">
        <f t="shared" si="25"/>
        <v>0</v>
      </c>
      <c r="O39" s="286">
        <f t="shared" si="25"/>
        <v>0</v>
      </c>
      <c r="P39" s="238">
        <f t="shared" si="25"/>
        <v>0</v>
      </c>
      <c r="Q39" s="238">
        <f>ROUND((SUM(C39:H39)+SUM(K39:P39))*20,0)/20</f>
        <v>0</v>
      </c>
      <c r="R39" s="79"/>
      <c r="S39" s="457"/>
      <c r="T39" s="458"/>
      <c r="U39" s="459"/>
      <c r="V39" s="403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08" t="str">
        <f>CONCATENATE("AVS/AI/APG ",T8*100,"%")</f>
        <v>AVS/AI/APG 0%</v>
      </c>
      <c r="B40" s="272" t="s">
        <v>128</v>
      </c>
      <c r="C40" s="230">
        <f t="shared" ref="C40:H40" si="26">C$39*-$T$8</f>
        <v>0</v>
      </c>
      <c r="D40" s="230">
        <f t="shared" si="26"/>
        <v>0</v>
      </c>
      <c r="E40" s="230">
        <f t="shared" si="26"/>
        <v>0</v>
      </c>
      <c r="F40" s="230">
        <f t="shared" si="26"/>
        <v>0</v>
      </c>
      <c r="G40" s="230">
        <f t="shared" si="26"/>
        <v>0</v>
      </c>
      <c r="H40" s="231">
        <f t="shared" si="26"/>
        <v>0</v>
      </c>
      <c r="I40" s="322" t="str">
        <f t="shared" si="0"/>
        <v>AVS/AI/APG 0%</v>
      </c>
      <c r="J40" s="272" t="s">
        <v>128</v>
      </c>
      <c r="K40" s="230">
        <f t="shared" ref="K40:P40" si="27">K$39*-$T$8</f>
        <v>0</v>
      </c>
      <c r="L40" s="230">
        <f t="shared" si="27"/>
        <v>0</v>
      </c>
      <c r="M40" s="230">
        <f t="shared" si="27"/>
        <v>0</v>
      </c>
      <c r="N40" s="232">
        <f t="shared" si="27"/>
        <v>0</v>
      </c>
      <c r="O40" s="230">
        <f t="shared" si="27"/>
        <v>0</v>
      </c>
      <c r="P40" s="231">
        <f t="shared" si="27"/>
        <v>0</v>
      </c>
      <c r="Q40" s="235">
        <f t="shared" ref="Q40:Q48" si="28">ROUND((SUM(C40:H40)+SUM(K40:P40))*20,0)/20</f>
        <v>0</v>
      </c>
      <c r="R40" s="65"/>
      <c r="S40" s="474"/>
      <c r="T40" s="475"/>
      <c r="U40" s="476"/>
      <c r="V40" s="403"/>
      <c r="W40" s="65"/>
      <c r="X40" s="2" t="s">
        <v>141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08" t="str">
        <f>CONCATENATE("AC ",T9*100,"%")</f>
        <v>AC 0%</v>
      </c>
      <c r="B41" s="267" t="s">
        <v>128</v>
      </c>
      <c r="C41" s="233">
        <f t="shared" ref="C41:H41" si="30">C$39*(IF(DATEDIF($F$7,$D$1,"Y")&lt;18,0,IF(DATEDIF($F$7,C21,"Y")&gt;(IF($C$10="féminin",63,64)),0,-1.1%)))</f>
        <v>0</v>
      </c>
      <c r="D41" s="233">
        <f t="shared" si="30"/>
        <v>0</v>
      </c>
      <c r="E41" s="233">
        <f t="shared" si="30"/>
        <v>0</v>
      </c>
      <c r="F41" s="233">
        <f t="shared" si="30"/>
        <v>0</v>
      </c>
      <c r="G41" s="233">
        <f t="shared" si="30"/>
        <v>0</v>
      </c>
      <c r="H41" s="234">
        <f t="shared" si="30"/>
        <v>0</v>
      </c>
      <c r="I41" s="322" t="str">
        <f t="shared" si="0"/>
        <v>AC 0%</v>
      </c>
      <c r="J41" s="267" t="s">
        <v>128</v>
      </c>
      <c r="K41" s="233">
        <f t="shared" ref="K41:P41" si="31">K$39*(IF(DATEDIF($F$7,$D$1,"Y")&lt;18,0,IF(DATEDIF($F$7,K21,"Y")&gt;(IF($C$10="féminin",63,64)),0,-1.1%)))</f>
        <v>0</v>
      </c>
      <c r="L41" s="233">
        <f t="shared" si="31"/>
        <v>0</v>
      </c>
      <c r="M41" s="233">
        <f t="shared" si="31"/>
        <v>0</v>
      </c>
      <c r="N41" s="232">
        <f t="shared" si="31"/>
        <v>0</v>
      </c>
      <c r="O41" s="233">
        <f t="shared" si="31"/>
        <v>0</v>
      </c>
      <c r="P41" s="234">
        <f t="shared" si="31"/>
        <v>0</v>
      </c>
      <c r="Q41" s="236">
        <f t="shared" si="28"/>
        <v>0</v>
      </c>
      <c r="R41" s="79"/>
      <c r="S41" s="472"/>
      <c r="T41" s="472"/>
      <c r="U41" s="472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08" t="str">
        <f>IF(T11&lt;0.01,"ANP",(CONCATENATE("ANP ",T11*100,"%")))</f>
        <v>ANP</v>
      </c>
      <c r="B42" s="267" t="s">
        <v>128</v>
      </c>
      <c r="C42" s="412">
        <f t="shared" ref="C42:H42" si="32">(C$37-C$34-C$35-C$36)*-$T$11</f>
        <v>0</v>
      </c>
      <c r="D42" s="412">
        <f t="shared" si="32"/>
        <v>0</v>
      </c>
      <c r="E42" s="412">
        <f t="shared" si="32"/>
        <v>0</v>
      </c>
      <c r="F42" s="412">
        <f t="shared" si="32"/>
        <v>0</v>
      </c>
      <c r="G42" s="412">
        <f t="shared" si="32"/>
        <v>0</v>
      </c>
      <c r="H42" s="414">
        <f t="shared" si="32"/>
        <v>0</v>
      </c>
      <c r="I42" s="322" t="str">
        <f t="shared" si="0"/>
        <v>ANP</v>
      </c>
      <c r="J42" s="267" t="s">
        <v>128</v>
      </c>
      <c r="K42" s="412">
        <f t="shared" ref="K42:P42" si="33">(K$37-K$34-K$35-K$36)*-$T$11</f>
        <v>0</v>
      </c>
      <c r="L42" s="412">
        <f t="shared" si="33"/>
        <v>0</v>
      </c>
      <c r="M42" s="412">
        <f t="shared" si="33"/>
        <v>0</v>
      </c>
      <c r="N42" s="416">
        <f t="shared" si="33"/>
        <v>0</v>
      </c>
      <c r="O42" s="412">
        <f t="shared" si="33"/>
        <v>0</v>
      </c>
      <c r="P42" s="414">
        <f t="shared" si="33"/>
        <v>0</v>
      </c>
      <c r="Q42" s="236">
        <f t="shared" si="28"/>
        <v>0</v>
      </c>
      <c r="R42" s="65"/>
      <c r="S42" s="473"/>
      <c r="T42" s="473"/>
      <c r="U42" s="473"/>
      <c r="V42" s="79"/>
      <c r="W42" s="2">
        <f>IF(S41&gt;1,1,0)</f>
        <v>0</v>
      </c>
      <c r="X42" s="2" t="s">
        <v>142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08" t="str">
        <f>IF(T13&lt;0.0000001,"IJM",(CONCATENATE("IJM ",T13*100,"%")))</f>
        <v>IJM</v>
      </c>
      <c r="B43" s="267" t="s">
        <v>128</v>
      </c>
      <c r="C43" s="412">
        <f t="shared" ref="C43:H43" si="35">(C$37-C$34-C$35-C$36)*-$T$13</f>
        <v>0</v>
      </c>
      <c r="D43" s="412">
        <f t="shared" si="35"/>
        <v>0</v>
      </c>
      <c r="E43" s="412">
        <f t="shared" si="35"/>
        <v>0</v>
      </c>
      <c r="F43" s="412">
        <f t="shared" si="35"/>
        <v>0</v>
      </c>
      <c r="G43" s="412">
        <f t="shared" si="35"/>
        <v>0</v>
      </c>
      <c r="H43" s="414">
        <f t="shared" si="35"/>
        <v>0</v>
      </c>
      <c r="I43" s="322" t="str">
        <f t="shared" si="0"/>
        <v>IJM</v>
      </c>
      <c r="J43" s="267" t="s">
        <v>128</v>
      </c>
      <c r="K43" s="412">
        <f t="shared" ref="K43:P43" si="36">(K$37-K$34-K$35-K$36)*-$T$13</f>
        <v>0</v>
      </c>
      <c r="L43" s="412">
        <f t="shared" si="36"/>
        <v>0</v>
      </c>
      <c r="M43" s="412">
        <f t="shared" si="36"/>
        <v>0</v>
      </c>
      <c r="N43" s="416">
        <f t="shared" si="36"/>
        <v>0</v>
      </c>
      <c r="O43" s="412">
        <f t="shared" si="36"/>
        <v>0</v>
      </c>
      <c r="P43" s="414">
        <f t="shared" si="36"/>
        <v>0</v>
      </c>
      <c r="Q43" s="236">
        <f t="shared" si="28"/>
        <v>0</v>
      </c>
      <c r="R43" s="65"/>
      <c r="S43" s="473"/>
      <c r="T43" s="473"/>
      <c r="U43" s="473"/>
      <c r="V43" s="65"/>
      <c r="W43" s="65"/>
      <c r="X43" s="101" t="s">
        <v>143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1">
        <f>MROUND(SUM(Y43:AJ43),0.05)</f>
        <v>0</v>
      </c>
    </row>
    <row r="44" spans="1:37" s="2" customFormat="1" ht="15" customHeight="1" x14ac:dyDescent="0.2">
      <c r="A44" s="308" t="str">
        <f>IF(T16&gt;0.01%,(CONCATENATE("LPP ",T16*100,"%")),IF(T15&lt;0.01,"LPP",(CONCATENATE("LPP ","CHF ",T15))))</f>
        <v>LPP</v>
      </c>
      <c r="B44" s="267" t="s">
        <v>128</v>
      </c>
      <c r="C44" s="412">
        <f t="shared" ref="C44:H44" si="39">IF(C39&lt;1,0,(IF(DATEDIF($F$7,$D$1,"Y")&lt;19,0,(IF(DATEDIF($F$7,C21,"Y")&gt;(IF($C$10="féminin",63,64)),0,IF($T$16&gt;0.1%,-$T$16*C39,-$T$15))))))</f>
        <v>0</v>
      </c>
      <c r="D44" s="412">
        <f t="shared" si="39"/>
        <v>0</v>
      </c>
      <c r="E44" s="412">
        <f t="shared" si="39"/>
        <v>0</v>
      </c>
      <c r="F44" s="412">
        <f t="shared" si="39"/>
        <v>0</v>
      </c>
      <c r="G44" s="412">
        <f t="shared" si="39"/>
        <v>0</v>
      </c>
      <c r="H44" s="414">
        <f t="shared" si="39"/>
        <v>0</v>
      </c>
      <c r="I44" s="322" t="str">
        <f t="shared" si="0"/>
        <v>LPP</v>
      </c>
      <c r="J44" s="267" t="s">
        <v>128</v>
      </c>
      <c r="K44" s="412">
        <f t="shared" ref="K44:P44" si="40">IF(K39&lt;1,0,(IF(DATEDIF($F$7,$D$1,"Y")&lt;19,0,(IF(DATEDIF($F$7,K21,"Y")&gt;(IF($C$10="féminin",63,64)),0,IF($T$16&gt;0.1%,-$T$16*K39,-$T$15))))))</f>
        <v>0</v>
      </c>
      <c r="L44" s="412">
        <f t="shared" si="40"/>
        <v>0</v>
      </c>
      <c r="M44" s="412">
        <f t="shared" si="40"/>
        <v>0</v>
      </c>
      <c r="N44" s="416">
        <f t="shared" si="40"/>
        <v>0</v>
      </c>
      <c r="O44" s="412">
        <f t="shared" si="40"/>
        <v>0</v>
      </c>
      <c r="P44" s="414">
        <f t="shared" si="40"/>
        <v>0</v>
      </c>
      <c r="Q44" s="236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08" t="str">
        <f>IF(G13="à choisir","",IF(OR(Y9&lt;5%,G13="ordinaire",)," ",(CONCATENATE("Impôt selon LTN ",Y9*100,"%"))))</f>
        <v/>
      </c>
      <c r="B45" s="266" t="str">
        <f>IF(A45="Impôt selon LTN 5%","CHF"," ")</f>
        <v xml:space="preserve"> </v>
      </c>
      <c r="C45" s="412">
        <f t="shared" ref="C45:H45" si="41">IF(C39+C38=0,0,IF(DATEDIF($F$7,C21,"Y")&lt;(IF($C$10="féminin",64,65)),C39*-$Y$9,IF(AND(C38&gt;1),(C39+C38)*-$Y$9,C39*-$Y$9)))</f>
        <v>0</v>
      </c>
      <c r="D45" s="412">
        <f t="shared" si="41"/>
        <v>0</v>
      </c>
      <c r="E45" s="412">
        <f t="shared" si="41"/>
        <v>0</v>
      </c>
      <c r="F45" s="412">
        <f t="shared" si="41"/>
        <v>0</v>
      </c>
      <c r="G45" s="412">
        <f t="shared" si="41"/>
        <v>0</v>
      </c>
      <c r="H45" s="414">
        <f t="shared" si="41"/>
        <v>0</v>
      </c>
      <c r="I45" s="308" t="str">
        <f t="shared" si="0"/>
        <v/>
      </c>
      <c r="J45" s="266" t="str">
        <f>IF(I45="Impôt selon LTN 5%","CHF"," ")</f>
        <v xml:space="preserve"> </v>
      </c>
      <c r="K45" s="412">
        <f t="shared" ref="K45:P45" si="42">IF(K39+K38=0,0,IF(DATEDIF($F$7,K21,"Y")&lt;(IF($C$10="féminin",64,65)),K39*-$Y$9,IF(AND(K38&gt;1),(K39+K38)*-$Y$9,K39*-$Y$9)))</f>
        <v>0</v>
      </c>
      <c r="L45" s="412">
        <f t="shared" si="42"/>
        <v>0</v>
      </c>
      <c r="M45" s="412">
        <f t="shared" si="42"/>
        <v>0</v>
      </c>
      <c r="N45" s="412">
        <f t="shared" si="42"/>
        <v>0</v>
      </c>
      <c r="O45" s="412">
        <f t="shared" si="42"/>
        <v>0</v>
      </c>
      <c r="P45" s="414">
        <f t="shared" si="42"/>
        <v>0</v>
      </c>
      <c r="Q45" s="300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08" t="str">
        <f>IF(G13="ordinaire","Impôt à la source","")</f>
        <v/>
      </c>
      <c r="B46" s="266" t="str">
        <f>IF(A46="QST","CHF"," ")</f>
        <v xml:space="preserve"> </v>
      </c>
      <c r="C46" s="412"/>
      <c r="D46" s="412"/>
      <c r="E46" s="412"/>
      <c r="F46" s="412"/>
      <c r="G46" s="412"/>
      <c r="H46" s="415"/>
      <c r="I46" s="322" t="str">
        <f t="shared" si="0"/>
        <v/>
      </c>
      <c r="J46" s="266" t="str">
        <f>IF(I46="QST","CHF"," ")</f>
        <v xml:space="preserve"> </v>
      </c>
      <c r="K46" s="413"/>
      <c r="L46" s="413"/>
      <c r="M46" s="413"/>
      <c r="N46" s="416"/>
      <c r="O46" s="413"/>
      <c r="P46" s="415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08" t="s">
        <v>144</v>
      </c>
      <c r="B47" s="267" t="s">
        <v>128</v>
      </c>
      <c r="C47" s="412"/>
      <c r="D47" s="413"/>
      <c r="E47" s="413"/>
      <c r="F47" s="413"/>
      <c r="G47" s="413"/>
      <c r="H47" s="415"/>
      <c r="I47" s="322" t="str">
        <f t="shared" si="0"/>
        <v>Frais effectifs</v>
      </c>
      <c r="J47" s="267" t="s">
        <v>128</v>
      </c>
      <c r="K47" s="413"/>
      <c r="L47" s="413"/>
      <c r="M47" s="413"/>
      <c r="N47" s="416"/>
      <c r="O47" s="413"/>
      <c r="P47" s="415"/>
      <c r="Q47" s="70">
        <f t="shared" si="28"/>
        <v>0</v>
      </c>
      <c r="R47" s="165"/>
      <c r="S47" s="65"/>
      <c r="T47" s="65"/>
      <c r="U47" s="65"/>
      <c r="V47" s="165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2" t="s">
        <v>127</v>
      </c>
      <c r="B48" s="271" t="s">
        <v>128</v>
      </c>
      <c r="C48" s="412">
        <f>-C31</f>
        <v>0</v>
      </c>
      <c r="D48" s="413">
        <f t="shared" ref="D48:H48" si="43">-D31</f>
        <v>0</v>
      </c>
      <c r="E48" s="413">
        <f t="shared" si="43"/>
        <v>0</v>
      </c>
      <c r="F48" s="413">
        <f t="shared" si="43"/>
        <v>0</v>
      </c>
      <c r="G48" s="413">
        <f t="shared" si="43"/>
        <v>0</v>
      </c>
      <c r="H48" s="415">
        <f t="shared" si="43"/>
        <v>0</v>
      </c>
      <c r="I48" s="323" t="str">
        <f t="shared" si="0"/>
        <v>Repas &amp; logement</v>
      </c>
      <c r="J48" s="271" t="s">
        <v>128</v>
      </c>
      <c r="K48" s="413">
        <f t="shared" ref="K48:P48" si="44">-K31</f>
        <v>0</v>
      </c>
      <c r="L48" s="413">
        <f t="shared" si="44"/>
        <v>0</v>
      </c>
      <c r="M48" s="413">
        <f t="shared" si="44"/>
        <v>0</v>
      </c>
      <c r="N48" s="416">
        <f t="shared" si="44"/>
        <v>0</v>
      </c>
      <c r="O48" s="413">
        <f t="shared" si="44"/>
        <v>0</v>
      </c>
      <c r="P48" s="415">
        <f t="shared" si="44"/>
        <v>0</v>
      </c>
      <c r="Q48" s="237">
        <f t="shared" si="28"/>
        <v>0</v>
      </c>
      <c r="R48" s="57"/>
      <c r="S48" s="165"/>
      <c r="T48" s="165"/>
      <c r="U48" s="165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29" t="s">
        <v>145</v>
      </c>
      <c r="B49" s="330" t="s">
        <v>128</v>
      </c>
      <c r="C49" s="325">
        <f>MROUND(C37+(SUM(C40:C46)+C47+C48),0.05)</f>
        <v>0</v>
      </c>
      <c r="D49" s="325">
        <f t="shared" ref="D49:H49" si="45">MROUND(D37+(SUM(D40:D46)+D47+D48),0.05)</f>
        <v>0</v>
      </c>
      <c r="E49" s="325">
        <f t="shared" si="45"/>
        <v>0</v>
      </c>
      <c r="F49" s="325">
        <f t="shared" si="45"/>
        <v>0</v>
      </c>
      <c r="G49" s="325">
        <f t="shared" si="45"/>
        <v>0</v>
      </c>
      <c r="H49" s="327">
        <f t="shared" si="45"/>
        <v>0</v>
      </c>
      <c r="I49" s="329" t="str">
        <f t="shared" si="0"/>
        <v>Salaire net</v>
      </c>
      <c r="J49" s="330" t="s">
        <v>128</v>
      </c>
      <c r="K49" s="325">
        <f t="shared" ref="K49:P49" si="46">MROUND(K37+(SUM(K40:K46)+K47+K48),0.05)</f>
        <v>0</v>
      </c>
      <c r="L49" s="325">
        <f t="shared" si="46"/>
        <v>0</v>
      </c>
      <c r="M49" s="325">
        <f t="shared" si="46"/>
        <v>0</v>
      </c>
      <c r="N49" s="325">
        <f t="shared" si="46"/>
        <v>0</v>
      </c>
      <c r="O49" s="325">
        <f t="shared" si="46"/>
        <v>0</v>
      </c>
      <c r="P49" s="327">
        <f t="shared" si="46"/>
        <v>0</v>
      </c>
      <c r="Q49" s="238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1" t="s">
        <v>146</v>
      </c>
      <c r="B50" s="324" t="s">
        <v>128</v>
      </c>
      <c r="C50" s="412"/>
      <c r="D50" s="412"/>
      <c r="E50" s="412"/>
      <c r="F50" s="412"/>
      <c r="G50" s="412"/>
      <c r="H50" s="414"/>
      <c r="I50" s="331" t="str">
        <f t="shared" si="0"/>
        <v>Salaire net payé</v>
      </c>
      <c r="J50" s="324" t="s">
        <v>128</v>
      </c>
      <c r="K50" s="412"/>
      <c r="L50" s="412"/>
      <c r="M50" s="412"/>
      <c r="N50" s="412"/>
      <c r="O50" s="412"/>
      <c r="P50" s="414"/>
      <c r="Q50" s="305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2" t="s">
        <v>147</v>
      </c>
      <c r="B51" s="333" t="s">
        <v>128</v>
      </c>
      <c r="C51" s="326">
        <f>IF(C50=0,0,C50-C49)</f>
        <v>0</v>
      </c>
      <c r="D51" s="326">
        <f t="shared" ref="D51:H51" si="47">IF(D50=0,0,D50-D49)</f>
        <v>0</v>
      </c>
      <c r="E51" s="326">
        <f t="shared" si="47"/>
        <v>0</v>
      </c>
      <c r="F51" s="326">
        <f t="shared" si="47"/>
        <v>0</v>
      </c>
      <c r="G51" s="326">
        <f t="shared" si="47"/>
        <v>0</v>
      </c>
      <c r="H51" s="328">
        <f t="shared" si="47"/>
        <v>0</v>
      </c>
      <c r="I51" s="332" t="str">
        <f t="shared" si="0"/>
        <v>Différence</v>
      </c>
      <c r="J51" s="333" t="s">
        <v>128</v>
      </c>
      <c r="K51" s="326">
        <f t="shared" ref="K51:P51" si="48">IF(K50=0,0,K50-K49)</f>
        <v>0</v>
      </c>
      <c r="L51" s="326">
        <f t="shared" si="48"/>
        <v>0</v>
      </c>
      <c r="M51" s="326">
        <f t="shared" si="48"/>
        <v>0</v>
      </c>
      <c r="N51" s="326">
        <f t="shared" si="48"/>
        <v>0</v>
      </c>
      <c r="O51" s="326">
        <f t="shared" si="48"/>
        <v>0</v>
      </c>
      <c r="P51" s="328">
        <f t="shared" si="48"/>
        <v>0</v>
      </c>
      <c r="Q51" s="305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148</v>
      </c>
      <c r="B52" s="321"/>
      <c r="C52" s="448"/>
      <c r="D52" s="448"/>
      <c r="E52" s="448"/>
      <c r="F52" s="448"/>
      <c r="G52" s="448"/>
      <c r="H52" s="446"/>
      <c r="I52" s="71" t="str">
        <f t="shared" si="0"/>
        <v>Remarques</v>
      </c>
      <c r="J52" s="321"/>
      <c r="K52" s="448"/>
      <c r="L52" s="448"/>
      <c r="M52" s="448"/>
      <c r="N52" s="448"/>
      <c r="O52" s="450"/>
      <c r="P52" s="446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3"/>
      <c r="B53" s="273"/>
      <c r="C53" s="449"/>
      <c r="D53" s="449"/>
      <c r="E53" s="449"/>
      <c r="F53" s="449"/>
      <c r="G53" s="449"/>
      <c r="H53" s="447"/>
      <c r="I53" s="313"/>
      <c r="J53" s="273"/>
      <c r="K53" s="449"/>
      <c r="L53" s="449"/>
      <c r="M53" s="449"/>
      <c r="N53" s="449"/>
      <c r="O53" s="451"/>
      <c r="P53" s="447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4" t="s">
        <v>149</v>
      </c>
      <c r="B55" s="274"/>
      <c r="C55" s="85">
        <f t="shared" ref="C55:H55" si="50">C21</f>
        <v>45292</v>
      </c>
      <c r="D55" s="86">
        <f t="shared" si="50"/>
        <v>45323</v>
      </c>
      <c r="E55" s="86">
        <f t="shared" si="50"/>
        <v>45352</v>
      </c>
      <c r="F55" s="86">
        <f t="shared" si="50"/>
        <v>45383</v>
      </c>
      <c r="G55" s="86">
        <f t="shared" si="50"/>
        <v>45413</v>
      </c>
      <c r="H55" s="87">
        <f t="shared" si="50"/>
        <v>45444</v>
      </c>
      <c r="I55" s="314" t="str">
        <f>A55</f>
        <v>Données pour AssistMe:</v>
      </c>
      <c r="J55" s="274"/>
      <c r="K55" s="86">
        <f t="shared" ref="K55:P55" si="51">K21</f>
        <v>45474</v>
      </c>
      <c r="L55" s="86">
        <f t="shared" si="51"/>
        <v>45505</v>
      </c>
      <c r="M55" s="86">
        <f t="shared" si="51"/>
        <v>45536</v>
      </c>
      <c r="N55" s="88">
        <f t="shared" si="51"/>
        <v>45566</v>
      </c>
      <c r="O55" s="86">
        <f t="shared" si="51"/>
        <v>45597</v>
      </c>
      <c r="P55" s="87">
        <f t="shared" si="51"/>
        <v>45627</v>
      </c>
      <c r="Q55" s="224" t="s">
        <v>126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5" t="s">
        <v>150</v>
      </c>
      <c r="B56" s="275" t="s">
        <v>151</v>
      </c>
      <c r="C56" s="402" t="str">
        <f t="shared" ref="C56:H56" si="52">IF($C$16="Salaire horaire",IF($M$8="","",(C25*$P$10)+(C24*$P$7)+C26+C28+(C32+C33)/(IF($M$13&gt;1,((($M$8+$M$13)/2)),$M$8))),"Salaire mensuel")</f>
        <v>Salaire mensuel</v>
      </c>
      <c r="D56" s="402" t="str">
        <f t="shared" si="52"/>
        <v>Salaire mensuel</v>
      </c>
      <c r="E56" s="402" t="str">
        <f t="shared" si="52"/>
        <v>Salaire mensuel</v>
      </c>
      <c r="F56" s="402" t="str">
        <f t="shared" si="52"/>
        <v>Salaire mensuel</v>
      </c>
      <c r="G56" s="402" t="str">
        <f t="shared" si="52"/>
        <v>Salaire mensuel</v>
      </c>
      <c r="H56" s="287" t="str">
        <f t="shared" si="52"/>
        <v>Salaire mensuel</v>
      </c>
      <c r="I56" s="316" t="str">
        <f>A56</f>
        <v>Nombre d'heures</v>
      </c>
      <c r="J56" s="275" t="s">
        <v>151</v>
      </c>
      <c r="K56" s="402" t="str">
        <f t="shared" ref="K56:P56" si="53">IF($C$16="Salaire horaire",IF($M$8="","",(K25*$P$10)+(K24*$P$7)+K26+K28+(K32+K33)/(IF($M$13&gt;1,((($M$8+$M$13)/2)),$M$8))),"Salaire mensuel")</f>
        <v>Salaire mensuel</v>
      </c>
      <c r="L56" s="402" t="str">
        <f t="shared" si="53"/>
        <v>Salaire mensuel</v>
      </c>
      <c r="M56" s="402" t="str">
        <f t="shared" si="53"/>
        <v>Salaire mensuel</v>
      </c>
      <c r="N56" s="402" t="str">
        <f t="shared" si="53"/>
        <v>Salaire mensuel</v>
      </c>
      <c r="O56" s="402" t="str">
        <f t="shared" si="53"/>
        <v>Salaire mensuel</v>
      </c>
      <c r="P56" s="287" t="str">
        <f t="shared" si="53"/>
        <v>Salaire mensuel</v>
      </c>
      <c r="Q56" s="229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16" t="s">
        <v>145</v>
      </c>
      <c r="B57" s="276" t="s">
        <v>128</v>
      </c>
      <c r="C57" s="288">
        <f>C49-C48-C47-C46-C36-C35-C34-C31</f>
        <v>0</v>
      </c>
      <c r="D57" s="288">
        <f t="shared" ref="D57:H57" si="54">D49-D48-D47-D46-D36-D35-D34-D31</f>
        <v>0</v>
      </c>
      <c r="E57" s="288">
        <f t="shared" si="54"/>
        <v>0</v>
      </c>
      <c r="F57" s="288">
        <f t="shared" si="54"/>
        <v>0</v>
      </c>
      <c r="G57" s="288">
        <f t="shared" si="54"/>
        <v>0</v>
      </c>
      <c r="H57" s="287">
        <f t="shared" si="54"/>
        <v>0</v>
      </c>
      <c r="I57" s="316" t="str">
        <f>A57</f>
        <v>Salaire net</v>
      </c>
      <c r="J57" s="276" t="s">
        <v>128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297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17" t="s">
        <v>152</v>
      </c>
      <c r="B58" s="277" t="s">
        <v>128</v>
      </c>
      <c r="C58" s="289">
        <f>IF(C32&gt;0.1,C32-(C32*(SUM($T$8:$T$14)+$Y$9+$T$16))-(C32/IF(C39=0,1,C39)*-C44),IF(C32&lt;-0.1,C32-(C32*(SUM($T$8:$T$14)+$Y$9+$T$16))-(C32/IF(C39=0,1,C39)*-C44),0))</f>
        <v>0</v>
      </c>
      <c r="D58" s="289">
        <f t="shared" ref="D58:H58" si="56">IF(D32&gt;0.1,D32-(D32*(SUM($T$8:$T$14)+$Y$9+$T$16))-(D32/IF(D39=0,1,D39)*-D44),IF(D32&lt;-0.1,D32-(D32*(SUM($T$8:$T$14)+$Y$9+$T$16))-(D32/IF(D39=0,1,D39)*-D44),0))</f>
        <v>0</v>
      </c>
      <c r="E58" s="289">
        <f t="shared" si="56"/>
        <v>0</v>
      </c>
      <c r="F58" s="289">
        <f t="shared" si="56"/>
        <v>0</v>
      </c>
      <c r="G58" s="289">
        <f t="shared" si="56"/>
        <v>0</v>
      </c>
      <c r="H58" s="290">
        <f t="shared" si="56"/>
        <v>0</v>
      </c>
      <c r="I58" s="317" t="str">
        <f>A58</f>
        <v>Dont oblig. de verser le salaire (art. 324a CO)</v>
      </c>
      <c r="J58" s="277" t="s">
        <v>128</v>
      </c>
      <c r="K58" s="289">
        <f t="shared" ref="K58:P58" si="57">IF(K32&gt;0.1,K32-(K32*(SUM($T$8:$T$14)+$Y$9+$T$16))-(K32/IF(K39=0,1,K39)*-K44),IF(K32&lt;-0.1,K32-(K32*(SUM($T$8:$T$14)+$Y$9+$T$16))-(K32/IF(K39=0,1,K39)*-K44),0))</f>
        <v>0</v>
      </c>
      <c r="L58" s="289">
        <f t="shared" si="57"/>
        <v>0</v>
      </c>
      <c r="M58" s="289">
        <f t="shared" si="57"/>
        <v>0</v>
      </c>
      <c r="N58" s="289">
        <f t="shared" si="57"/>
        <v>0</v>
      </c>
      <c r="O58" s="289">
        <f t="shared" si="57"/>
        <v>0</v>
      </c>
      <c r="P58" s="290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18" t="str">
        <f>IF(G12="oui","Contribution d'assistance de l'AI","")</f>
        <v/>
      </c>
      <c r="B60" s="278"/>
      <c r="C60" s="219" t="str">
        <f t="shared" ref="C60:H60" si="58">IF($G$12="oui",C21,"")</f>
        <v/>
      </c>
      <c r="D60" s="219" t="str">
        <f t="shared" si="58"/>
        <v/>
      </c>
      <c r="E60" s="219" t="str">
        <f t="shared" si="58"/>
        <v/>
      </c>
      <c r="F60" s="219" t="str">
        <f t="shared" si="58"/>
        <v/>
      </c>
      <c r="G60" s="219" t="str">
        <f t="shared" si="58"/>
        <v/>
      </c>
      <c r="H60" s="220" t="str">
        <f t="shared" si="58"/>
        <v/>
      </c>
      <c r="I60" s="318" t="str">
        <f t="shared" ref="I60:I64" si="59">A60</f>
        <v/>
      </c>
      <c r="J60" s="278"/>
      <c r="K60" s="219" t="str">
        <f t="shared" ref="K60:P60" si="60">IF($G$12="oui",K21,"")</f>
        <v/>
      </c>
      <c r="L60" s="219" t="str">
        <f t="shared" si="60"/>
        <v/>
      </c>
      <c r="M60" s="219" t="str">
        <f t="shared" si="60"/>
        <v/>
      </c>
      <c r="N60" s="221" t="str">
        <f t="shared" si="60"/>
        <v/>
      </c>
      <c r="O60" s="219" t="str">
        <f t="shared" si="60"/>
        <v/>
      </c>
      <c r="P60" s="220" t="str">
        <f t="shared" si="60"/>
        <v/>
      </c>
      <c r="Q60" s="225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19" t="str">
        <f>IF(G12="oui","A) Nb. d'heures standard","")</f>
        <v/>
      </c>
      <c r="B61" s="279" t="str">
        <f>IF(G12="oui","h"," ")</f>
        <v xml:space="preserve"> </v>
      </c>
      <c r="C61" s="291" t="str">
        <f>IF($G$12="oui",(IF(DATEDIF($F$7,C$21,"Y")&lt;18,0,C26+C28)),"")</f>
        <v/>
      </c>
      <c r="D61" s="291" t="str">
        <f t="shared" ref="D61:H61" si="61">IF($G$12="oui",(IF(DATEDIF($F$7,D$21,"Y")&lt;18,0,D26+D28)),"")</f>
        <v/>
      </c>
      <c r="E61" s="291" t="str">
        <f t="shared" si="61"/>
        <v/>
      </c>
      <c r="F61" s="223" t="str">
        <f t="shared" si="61"/>
        <v/>
      </c>
      <c r="G61" s="223" t="str">
        <f t="shared" si="61"/>
        <v/>
      </c>
      <c r="H61" s="222" t="str">
        <f t="shared" si="61"/>
        <v/>
      </c>
      <c r="I61" s="320" t="str">
        <f t="shared" si="59"/>
        <v/>
      </c>
      <c r="J61" s="279" t="str">
        <f>B61</f>
        <v xml:space="preserve"> </v>
      </c>
      <c r="K61" s="223" t="str">
        <f t="shared" ref="K61:P61" si="62">IF($G$12="oui",(IF(DATEDIF($F$7,K$21,"Y")&lt;18,0,K26+K28)),"")</f>
        <v/>
      </c>
      <c r="L61" s="223" t="str">
        <f t="shared" si="62"/>
        <v/>
      </c>
      <c r="M61" s="223" t="str">
        <f t="shared" si="62"/>
        <v/>
      </c>
      <c r="N61" s="295" t="str">
        <f t="shared" si="62"/>
        <v/>
      </c>
      <c r="O61" s="223" t="str">
        <f t="shared" si="62"/>
        <v/>
      </c>
      <c r="P61" s="222" t="str">
        <f t="shared" si="62"/>
        <v/>
      </c>
      <c r="Q61" s="22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0" t="str">
        <f>IF(G12="oui","B) Nb. d'heures quali B","")</f>
        <v/>
      </c>
      <c r="B62" s="280" t="str">
        <f>IF(G12="oui","h"," ")</f>
        <v xml:space="preserve"> </v>
      </c>
      <c r="C62" s="291"/>
      <c r="D62" s="291"/>
      <c r="E62" s="291"/>
      <c r="F62" s="291"/>
      <c r="G62" s="291"/>
      <c r="H62" s="292"/>
      <c r="I62" s="320" t="str">
        <f t="shared" si="59"/>
        <v/>
      </c>
      <c r="J62" s="280" t="str">
        <f>B62</f>
        <v xml:space="preserve"> </v>
      </c>
      <c r="K62" s="223"/>
      <c r="L62" s="223"/>
      <c r="M62" s="223"/>
      <c r="N62" s="295"/>
      <c r="O62" s="223"/>
      <c r="P62" s="222"/>
      <c r="Q62" s="222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x14ac:dyDescent="0.2">
      <c r="A63" s="392" t="str">
        <f>IF($G$12="oui","C) Nb. d'engagements 
de nuit","")</f>
        <v/>
      </c>
      <c r="B63" s="393" t="str">
        <f>IF(G12="oui","Nb."," ")</f>
        <v xml:space="preserve"> </v>
      </c>
      <c r="C63" s="394" t="str">
        <f>IF($G$12="oui",(IF(DATEDIF($F$7,C$21,"Y")&lt;18,0,C25)),"")</f>
        <v/>
      </c>
      <c r="D63" s="394" t="str">
        <f t="shared" ref="D63:H63" si="63">IF($G$12="oui",(IF(DATEDIF($F$7,D$21,"Y")&lt;18,0,D25)),"")</f>
        <v/>
      </c>
      <c r="E63" s="394" t="str">
        <f t="shared" si="63"/>
        <v/>
      </c>
      <c r="F63" s="394" t="str">
        <f t="shared" si="63"/>
        <v/>
      </c>
      <c r="G63" s="394" t="str">
        <f t="shared" si="63"/>
        <v/>
      </c>
      <c r="H63" s="395" t="str">
        <f t="shared" si="63"/>
        <v/>
      </c>
      <c r="I63" s="392" t="str">
        <f t="shared" si="59"/>
        <v/>
      </c>
      <c r="J63" s="393" t="str">
        <f>B63</f>
        <v xml:space="preserve"> </v>
      </c>
      <c r="K63" s="394" t="str">
        <f t="shared" ref="K63:P63" si="64">IF($G$12="oui",(IF(DATEDIF($F$7,K$21,"Y")&lt;18,0,K25)),"")</f>
        <v/>
      </c>
      <c r="L63" s="394" t="str">
        <f t="shared" si="64"/>
        <v/>
      </c>
      <c r="M63" s="394" t="str">
        <f t="shared" si="64"/>
        <v/>
      </c>
      <c r="N63" s="396" t="str">
        <f t="shared" si="64"/>
        <v/>
      </c>
      <c r="O63" s="394" t="str">
        <f t="shared" si="64"/>
        <v/>
      </c>
      <c r="P63" s="395" t="str">
        <f t="shared" si="64"/>
        <v/>
      </c>
      <c r="Q63" s="397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1" customFormat="1" ht="15" customHeight="1" thickBot="1" x14ac:dyDescent="0.25">
      <c r="A64" s="433" t="str">
        <f>IF(G12="oui","Oblig. de verser le salaire","")</f>
        <v/>
      </c>
      <c r="B64" s="434"/>
      <c r="C64" s="293" t="str">
        <f>IF($G$12="oui",(IF(OR(C32&gt;0.1,C33&gt;0.1),"décompter","")),"")</f>
        <v/>
      </c>
      <c r="D64" s="293" t="str">
        <f t="shared" ref="D64:H64" si="65">IF($G$12="oui",(IF(OR(D32&gt;0.1,D33&gt;0.1),"décompter","")),"")</f>
        <v/>
      </c>
      <c r="E64" s="293" t="str">
        <f t="shared" si="65"/>
        <v/>
      </c>
      <c r="F64" s="293" t="str">
        <f t="shared" si="65"/>
        <v/>
      </c>
      <c r="G64" s="293" t="str">
        <f t="shared" si="65"/>
        <v/>
      </c>
      <c r="H64" s="294" t="str">
        <f t="shared" si="65"/>
        <v/>
      </c>
      <c r="I64" s="435" t="str">
        <f t="shared" si="59"/>
        <v/>
      </c>
      <c r="J64" s="434"/>
      <c r="K64" s="293" t="str">
        <f t="shared" ref="K64:P64" si="66">IF($G$12="oui",(IF(OR(K32&gt;0.1,K33&gt;0.1),"décompter","")),"")</f>
        <v/>
      </c>
      <c r="L64" s="293" t="str">
        <f t="shared" si="66"/>
        <v/>
      </c>
      <c r="M64" s="293" t="str">
        <f t="shared" si="66"/>
        <v/>
      </c>
      <c r="N64" s="296" t="str">
        <f t="shared" si="66"/>
        <v/>
      </c>
      <c r="O64" s="293" t="str">
        <f t="shared" si="66"/>
        <v/>
      </c>
      <c r="P64" s="294" t="str">
        <f t="shared" si="66"/>
        <v/>
      </c>
      <c r="Q64" s="227" t="str">
        <f>IF($G$12="oui",SUM(C64:H64)+SUM(K64:P64),"")</f>
        <v/>
      </c>
      <c r="R64" s="398"/>
      <c r="S64" s="398"/>
      <c r="T64" s="398"/>
      <c r="U64" s="398"/>
      <c r="V64" s="398"/>
      <c r="W64" s="399"/>
      <c r="X64" s="400"/>
      <c r="Y64" s="400"/>
      <c r="Z64" s="400"/>
      <c r="AA64" s="400"/>
      <c r="AB64" s="400"/>
      <c r="AC64" s="400"/>
      <c r="AD64" s="400"/>
      <c r="AE64" s="400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6"/>
      <c r="Y65" s="226"/>
      <c r="Z65" s="226"/>
      <c r="AA65" s="226"/>
      <c r="AB65" s="226"/>
      <c r="AC65" s="226"/>
      <c r="AD65" s="226"/>
      <c r="AE65" s="226"/>
    </row>
    <row r="66" spans="1:31" ht="15" customHeight="1" x14ac:dyDescent="0.2">
      <c r="S66" s="62"/>
      <c r="T66" s="62"/>
      <c r="U66" s="62"/>
    </row>
  </sheetData>
  <sheetProtection algorithmName="SHA-512" hashValue="QcQGHcuHuP+CuoNW9/bUUeNXF/ma+11QH4LYF3xKFsqzp0K7X0FF4Ud8ve+ExIlqwFLgIN2jASxCgN4oQ7GfwQ==" saltValue="40tetp0NuqRXeuFJaZ6xOA==" spinCount="100000" sheet="1" objects="1" scenarios="1"/>
  <mergeCells count="48">
    <mergeCell ref="H52:H53"/>
    <mergeCell ref="C52:C53"/>
    <mergeCell ref="D52:D53"/>
    <mergeCell ref="E52:E53"/>
    <mergeCell ref="F52:F53"/>
    <mergeCell ref="G52:G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O52:O53"/>
    <mergeCell ref="P52:P53"/>
    <mergeCell ref="S24:U26"/>
    <mergeCell ref="S28:U30"/>
    <mergeCell ref="S31:U32"/>
    <mergeCell ref="S33:U35"/>
    <mergeCell ref="S36:U40"/>
    <mergeCell ref="S41:U43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73" priority="28" operator="beginsWith" text="Nom">
      <formula>LEFT(A25,LEN("Nom"))="Nom"</formula>
    </cfRule>
  </conditionalFormatting>
  <conditionalFormatting sqref="A26">
    <cfRule type="containsText" dxfId="72" priority="39" operator="containsText" text="Nombre d'heures">
      <formula>NOT(ISERROR(SEARCH("Nombre d'heures",A26)))</formula>
    </cfRule>
  </conditionalFormatting>
  <conditionalFormatting sqref="A28">
    <cfRule type="containsText" dxfId="71" priority="42" operator="containsText" text="Nombre d'heures II">
      <formula>NOT(ISERROR(SEARCH("Nombre d'heures II",A28)))</formula>
    </cfRule>
  </conditionalFormatting>
  <conditionalFormatting sqref="A24:B24">
    <cfRule type="expression" dxfId="70" priority="40">
      <formula>$G$11="oui"</formula>
    </cfRule>
  </conditionalFormatting>
  <conditionalFormatting sqref="A25:B25">
    <cfRule type="expression" dxfId="69" priority="31">
      <formula>$P$10&gt;0.1</formula>
    </cfRule>
  </conditionalFormatting>
  <conditionalFormatting sqref="A50:B50">
    <cfRule type="expression" dxfId="68" priority="218">
      <formula>$G$11="ja"</formula>
    </cfRule>
  </conditionalFormatting>
  <conditionalFormatting sqref="B25">
    <cfRule type="beginsWith" dxfId="67" priority="27" operator="beginsWith" text="Nb">
      <formula>LEFT(B25,LEN("Nb"))="Nb"</formula>
    </cfRule>
  </conditionalFormatting>
  <conditionalFormatting sqref="B26">
    <cfRule type="containsText" dxfId="66" priority="30" operator="containsText" text="h">
      <formula>NOT(ISERROR(SEARCH("h",B26)))</formula>
    </cfRule>
  </conditionalFormatting>
  <conditionalFormatting sqref="B28">
    <cfRule type="containsText" dxfId="65" priority="29" operator="containsText" text="h">
      <formula>NOT(ISERROR(SEARCH("h",B28)))</formula>
    </cfRule>
  </conditionalFormatting>
  <conditionalFormatting sqref="C17">
    <cfRule type="expression" dxfId="64" priority="54">
      <formula>$A$17="13ème salaire"</formula>
    </cfRule>
  </conditionalFormatting>
  <conditionalFormatting sqref="C22:H22">
    <cfRule type="cellIs" dxfId="63" priority="50" operator="greaterThan">
      <formula>1</formula>
    </cfRule>
  </conditionalFormatting>
  <conditionalFormatting sqref="C23:H23 K23:P23">
    <cfRule type="expression" dxfId="62" priority="17">
      <formula>$B$23="CHF"</formula>
    </cfRule>
  </conditionalFormatting>
  <conditionalFormatting sqref="C24:H24 K24:P24">
    <cfRule type="expression" dxfId="61" priority="36">
      <formula>$G$11="oui"</formula>
    </cfRule>
  </conditionalFormatting>
  <conditionalFormatting sqref="C25:H25 K25:P25">
    <cfRule type="expression" dxfId="60" priority="3">
      <formula>$B$25="Nb."</formula>
    </cfRule>
  </conditionalFormatting>
  <conditionalFormatting sqref="C26:H26">
    <cfRule type="expression" dxfId="59" priority="10">
      <formula>$G$12="oui"</formula>
    </cfRule>
    <cfRule type="expression" dxfId="58" priority="11">
      <formula>$C$16="Salaire horaire"</formula>
    </cfRule>
  </conditionalFormatting>
  <conditionalFormatting sqref="C28:H28 K28:P28">
    <cfRule type="expression" dxfId="57" priority="37">
      <formula>$G$10="oui"</formula>
    </cfRule>
  </conditionalFormatting>
  <conditionalFormatting sqref="C50:H50">
    <cfRule type="expression" dxfId="56" priority="192">
      <formula>C51&gt;0.01</formula>
    </cfRule>
    <cfRule type="expression" dxfId="55" priority="193">
      <formula>C51&lt;-0.01</formula>
    </cfRule>
  </conditionalFormatting>
  <conditionalFormatting sqref="C51:H51">
    <cfRule type="cellIs" dxfId="54" priority="206" operator="lessThan">
      <formula>-0.04</formula>
    </cfRule>
    <cfRule type="cellIs" dxfId="53" priority="207" operator="greaterThan">
      <formula>0.04</formula>
    </cfRule>
  </conditionalFormatting>
  <conditionalFormatting sqref="G1">
    <cfRule type="containsText" dxfId="52" priority="25" operator="containsText" text="Attention faute">
      <formula>NOT(ISERROR(SEARCH("Attention faute",G1)))</formula>
    </cfRule>
  </conditionalFormatting>
  <conditionalFormatting sqref="G10">
    <cfRule type="expression" dxfId="51" priority="18">
      <formula>$C$16="Salaire horaire"</formula>
    </cfRule>
  </conditionalFormatting>
  <conditionalFormatting sqref="H17:H18 S24">
    <cfRule type="beginsWith" dxfId="50" priority="46" operator="beginsWith" text="ATT">
      <formula>LEFT(H17,LEN("ATT"))="ATT"</formula>
    </cfRule>
  </conditionalFormatting>
  <conditionalFormatting sqref="I25">
    <cfRule type="beginsWith" dxfId="49" priority="5" operator="beginsWith" text="Nom">
      <formula>LEFT(I25,LEN("Nom"))="Nom"</formula>
    </cfRule>
  </conditionalFormatting>
  <conditionalFormatting sqref="I26">
    <cfRule type="containsText" dxfId="48" priority="22" operator="containsText" text="Nombre d'heures">
      <formula>NOT(ISERROR(SEARCH("Nombre d'heures",I26)))</formula>
    </cfRule>
  </conditionalFormatting>
  <conditionalFormatting sqref="I28">
    <cfRule type="containsText" dxfId="47" priority="24" operator="containsText" text="Nombre d'heures II">
      <formula>NOT(ISERROR(SEARCH("Nombre d'heures II",I28)))</formula>
    </cfRule>
  </conditionalFormatting>
  <conditionalFormatting sqref="I24:J24">
    <cfRule type="expression" dxfId="46" priority="23">
      <formula>$G$11="oui"</formula>
    </cfRule>
  </conditionalFormatting>
  <conditionalFormatting sqref="I25:J25">
    <cfRule type="expression" dxfId="45" priority="6">
      <formula>$P$10&gt;0.1</formula>
    </cfRule>
  </conditionalFormatting>
  <conditionalFormatting sqref="I50:J50">
    <cfRule type="expression" dxfId="44" priority="170">
      <formula>$G$11="ja"</formula>
    </cfRule>
  </conditionalFormatting>
  <conditionalFormatting sqref="J25">
    <cfRule type="beginsWith" dxfId="43" priority="4" operator="beginsWith" text="Nb">
      <formula>LEFT(J25,LEN("Nb"))="Nb"</formula>
    </cfRule>
  </conditionalFormatting>
  <conditionalFormatting sqref="J26">
    <cfRule type="containsText" dxfId="42" priority="21" operator="containsText" text="h">
      <formula>NOT(ISERROR(SEARCH("h",J26)))</formula>
    </cfRule>
  </conditionalFormatting>
  <conditionalFormatting sqref="J28">
    <cfRule type="containsText" dxfId="41" priority="20" operator="containsText" text="h">
      <formula>NOT(ISERROR(SEARCH("h",J28)))</formula>
    </cfRule>
  </conditionalFormatting>
  <conditionalFormatting sqref="K22:P22">
    <cfRule type="cellIs" dxfId="40" priority="51" operator="greaterThan">
      <formula>1</formula>
    </cfRule>
  </conditionalFormatting>
  <conditionalFormatting sqref="K26:P26">
    <cfRule type="expression" dxfId="39" priority="34">
      <formula>$G$12="oui"</formula>
    </cfRule>
    <cfRule type="expression" dxfId="38" priority="35">
      <formula>$C$16="Salaire horaire"</formula>
    </cfRule>
  </conditionalFormatting>
  <conditionalFormatting sqref="K50:P50">
    <cfRule type="expression" dxfId="37" priority="180">
      <formula>K51&gt;0.01</formula>
    </cfRule>
    <cfRule type="expression" dxfId="36" priority="181">
      <formula>K51&lt;-0.01</formula>
    </cfRule>
  </conditionalFormatting>
  <conditionalFormatting sqref="K51:P51">
    <cfRule type="cellIs" dxfId="35" priority="202" operator="lessThan">
      <formula>-0.04</formula>
    </cfRule>
    <cfRule type="cellIs" dxfId="34" priority="203" operator="greaterThan">
      <formula>0.04</formula>
    </cfRule>
  </conditionalFormatting>
  <conditionalFormatting sqref="L7">
    <cfRule type="expression" dxfId="33" priority="33">
      <formula>$C$16="à choisir"</formula>
    </cfRule>
  </conditionalFormatting>
  <conditionalFormatting sqref="L12">
    <cfRule type="expression" dxfId="32" priority="43">
      <formula>$G$10="oui"</formula>
    </cfRule>
  </conditionalFormatting>
  <conditionalFormatting sqref="M8">
    <cfRule type="expression" dxfId="31" priority="32">
      <formula>$C$16="Salaire horaire"</formula>
    </cfRule>
    <cfRule type="expression" dxfId="30" priority="26">
      <formula>$C$16="salaire mensuel"</formula>
    </cfRule>
  </conditionalFormatting>
  <conditionalFormatting sqref="M13">
    <cfRule type="expression" dxfId="29" priority="38">
      <formula>$G$10="oui"</formula>
    </cfRule>
  </conditionalFormatting>
  <conditionalFormatting sqref="P1">
    <cfRule type="containsText" dxfId="28" priority="19" operator="containsText" text="Attention faute">
      <formula>NOT(ISERROR(SEARCH("Attention faute",P1)))</formula>
    </cfRule>
  </conditionalFormatting>
  <conditionalFormatting sqref="P7">
    <cfRule type="expression" dxfId="27" priority="41">
      <formula>$Q$7="du Sal.horaire"</formula>
    </cfRule>
  </conditionalFormatting>
  <conditionalFormatting sqref="P10">
    <cfRule type="expression" dxfId="26" priority="44">
      <formula>$Q$10="heures"</formula>
    </cfRule>
  </conditionalFormatting>
  <conditionalFormatting sqref="S20">
    <cfRule type="beginsWith" dxfId="25" priority="8" operator="beginsWith" text="Rema">
      <formula>LEFT(S20,LEN("Rema"))="Rema"</formula>
    </cfRule>
    <cfRule type="beginsWith" dxfId="24" priority="7" operator="beginsWith" text="Ni">
      <formula>LEFT(S20,LEN("Ni"))="Ni"</formula>
    </cfRule>
    <cfRule type="beginsWith" dxfId="23" priority="9" operator="beginsWith" text="La">
      <formula>LEFT(S20,LEN("La"))="La"</formula>
    </cfRule>
  </conditionalFormatting>
  <conditionalFormatting sqref="S28">
    <cfRule type="beginsWith" dxfId="22" priority="45" operator="beginsWith" text="ATT">
      <formula>LEFT(S28,LEN("ATT"))="ATT"</formula>
    </cfRule>
  </conditionalFormatting>
  <conditionalFormatting sqref="S36:S37">
    <cfRule type="beginsWith" dxfId="21" priority="102" operator="beginsWith" text="Att">
      <formula>LEFT(S36,LEN("Att"))="Att"</formula>
    </cfRule>
  </conditionalFormatting>
  <conditionalFormatting sqref="A64:Q64">
    <cfRule type="expression" dxfId="20" priority="1">
      <formula>$G$12="non"</formula>
    </cfRule>
  </conditionalFormatting>
  <conditionalFormatting sqref="A60:Q63">
    <cfRule type="expression" dxfId="19" priority="2">
      <formula>$G$12="non"</formula>
    </cfRule>
  </conditionalFormatting>
  <dataValidations count="7">
    <dataValidation type="list" allowBlank="1" showInputMessage="1" showErrorMessage="1" sqref="G10" xr:uid="{00000000-0002-0000-0900-000001000000}">
      <formula1>$AC$13:$AC$14</formula1>
    </dataValidation>
    <dataValidation type="list" allowBlank="1" showInputMessage="1" showErrorMessage="1" sqref="C17" xr:uid="{00000000-0002-0000-0900-000002000000}">
      <formula1>$Y$11:$Y$12</formula1>
    </dataValidation>
    <dataValidation type="list" allowBlank="1" showInputMessage="1" showErrorMessage="1" sqref="C10" xr:uid="{07EBDBC7-74D6-4BF0-89B4-C62F7F9CE79B}">
      <formula1>$X$6:$X$8</formula1>
    </dataValidation>
    <dataValidation type="list" allowBlank="1" showInputMessage="1" showErrorMessage="1" sqref="F9:G9" xr:uid="{00000000-0002-0000-0900-000000000000}">
      <formula1>$AB$6:$AB$19</formula1>
    </dataValidation>
    <dataValidation type="list" allowBlank="1" showInputMessage="1" showErrorMessage="1" sqref="C16" xr:uid="{FAB884C6-1E09-4102-84F5-B9C8C9858268}">
      <formula1>$X$11:$X$13</formula1>
    </dataValidation>
    <dataValidation type="list" allowBlank="1" showInputMessage="1" showErrorMessage="1" sqref="G13" xr:uid="{5DF1496C-562B-4B64-B915-3FFAED5FB9D2}">
      <formula1>$Y$6:$Y$8</formula1>
    </dataValidation>
    <dataValidation type="list" allowBlank="1" showInputMessage="1" showErrorMessage="1" sqref="G11:G12" xr:uid="{3EE27498-E828-4D37-8D48-F2993AFB2833}">
      <formula1>$AH$6:$AH$8</formula1>
    </dataValidation>
  </dataValidations>
  <hyperlinks>
    <hyperlink ref="G1:H3" location="Fehler1" display="Fehler1" xr:uid="{3B225DD5-46E7-49DB-A664-ADC4D73055EA}"/>
    <hyperlink ref="P1:Q3" location="Fehler1" display="Fehler1" xr:uid="{31E3F4BE-6B2E-4C1F-80F8-EE37A0383AC0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7.0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1">
    <tabColor theme="6" tint="0.59999389629810485"/>
    <pageSetUpPr fitToPage="1"/>
  </sheetPr>
  <dimension ref="A1:L55"/>
  <sheetViews>
    <sheetView showGridLines="0" showZeros="0" showOutlineSymbols="0" zoomScaleNormal="100" workbookViewId="0">
      <selection activeCell="D31" sqref="D31"/>
    </sheetView>
  </sheetViews>
  <sheetFormatPr baseColWidth="10" defaultColWidth="11.42578125" defaultRowHeight="12.75" x14ac:dyDescent="0.2"/>
  <cols>
    <col min="1" max="2" width="18.7109375" style="1" customWidth="1"/>
    <col min="3" max="4" width="11.7109375" style="1" customWidth="1"/>
    <col min="5" max="5" width="0.85546875" style="1" customWidth="1"/>
    <col min="6" max="7" width="10.28515625" style="1" customWidth="1"/>
    <col min="8" max="8" width="4.7109375" style="1" customWidth="1"/>
    <col min="9" max="9" width="15.7109375" style="1" customWidth="1" collapsed="1"/>
    <col min="10" max="10" width="11.42578125" style="1"/>
    <col min="11" max="11" width="0" style="1" hidden="1" customWidth="1"/>
    <col min="12" max="12" width="47.7109375" style="1" customWidth="1"/>
    <col min="13" max="16384" width="11.42578125" style="1"/>
  </cols>
  <sheetData>
    <row r="1" spans="1:12" ht="12.75" customHeight="1" x14ac:dyDescent="0.2">
      <c r="A1" s="509"/>
      <c r="B1" s="509"/>
      <c r="C1" s="509"/>
      <c r="D1" s="155"/>
      <c r="E1" s="155"/>
      <c r="F1" s="511" t="s">
        <v>153</v>
      </c>
      <c r="G1" s="511"/>
      <c r="H1" s="511"/>
      <c r="I1" s="511"/>
    </row>
    <row r="2" spans="1:12" ht="12.75" customHeight="1" x14ac:dyDescent="0.2">
      <c r="A2" s="509"/>
      <c r="B2" s="509"/>
      <c r="C2" s="509"/>
      <c r="D2" s="155"/>
      <c r="E2" s="155"/>
      <c r="F2" s="511"/>
      <c r="G2" s="511"/>
      <c r="H2" s="511"/>
      <c r="I2" s="511"/>
    </row>
    <row r="3" spans="1:12" ht="12.75" customHeight="1" x14ac:dyDescent="0.2">
      <c r="A3" s="509"/>
      <c r="B3" s="509"/>
      <c r="C3" s="509"/>
      <c r="D3" s="155"/>
      <c r="E3" s="155"/>
      <c r="F3" s="511"/>
      <c r="G3" s="511"/>
      <c r="H3" s="511"/>
      <c r="I3" s="511"/>
    </row>
    <row r="4" spans="1:12" ht="12.75" customHeight="1" x14ac:dyDescent="0.2">
      <c r="A4" s="391"/>
      <c r="B4" s="391"/>
      <c r="C4" s="391"/>
      <c r="D4" s="155"/>
      <c r="E4" s="155"/>
      <c r="F4" s="511"/>
      <c r="G4" s="511"/>
      <c r="H4" s="511"/>
      <c r="I4" s="511"/>
    </row>
    <row r="5" spans="1:12" ht="15.75" thickBot="1" x14ac:dyDescent="0.3">
      <c r="B5" s="25"/>
      <c r="C5" s="25"/>
      <c r="F5" s="25"/>
    </row>
    <row r="6" spans="1:12" x14ac:dyDescent="0.2">
      <c r="A6" s="24"/>
      <c r="F6" s="35" t="s">
        <v>154</v>
      </c>
      <c r="G6" s="26"/>
      <c r="H6" s="512">
        <f ca="1">TODAY()</f>
        <v>45286</v>
      </c>
      <c r="I6" s="513"/>
      <c r="L6" s="43" t="s">
        <v>155</v>
      </c>
    </row>
    <row r="7" spans="1:12" x14ac:dyDescent="0.2">
      <c r="F7" s="36" t="s">
        <v>156</v>
      </c>
      <c r="G7" s="2"/>
      <c r="H7" s="480"/>
      <c r="I7" s="491"/>
      <c r="L7" s="44" t="s">
        <v>157</v>
      </c>
    </row>
    <row r="8" spans="1:12" x14ac:dyDescent="0.2">
      <c r="A8" s="510" t="s">
        <v>158</v>
      </c>
      <c r="B8" s="510"/>
      <c r="F8" s="89" t="s">
        <v>159</v>
      </c>
      <c r="G8" s="3"/>
      <c r="H8" s="92"/>
      <c r="I8" s="90"/>
      <c r="L8" s="45" t="s">
        <v>160</v>
      </c>
    </row>
    <row r="9" spans="1:12" x14ac:dyDescent="0.2">
      <c r="A9" s="480"/>
      <c r="B9" s="480"/>
      <c r="C9" s="2"/>
      <c r="F9" s="4"/>
      <c r="L9" s="46" t="s">
        <v>161</v>
      </c>
    </row>
    <row r="10" spans="1:12" x14ac:dyDescent="0.2">
      <c r="A10" s="480"/>
      <c r="B10" s="480"/>
      <c r="C10" s="2"/>
      <c r="F10" s="5" t="s">
        <v>162</v>
      </c>
      <c r="H10" s="5"/>
      <c r="L10" s="46" t="s">
        <v>163</v>
      </c>
    </row>
    <row r="11" spans="1:12" x14ac:dyDescent="0.2">
      <c r="A11" s="480"/>
      <c r="B11" s="480"/>
      <c r="C11" s="2"/>
      <c r="L11" s="46" t="s">
        <v>164</v>
      </c>
    </row>
    <row r="12" spans="1:12" x14ac:dyDescent="0.2">
      <c r="A12" s="480"/>
      <c r="B12" s="480"/>
      <c r="C12" s="2"/>
      <c r="F12" s="35" t="s">
        <v>165</v>
      </c>
      <c r="G12" s="91"/>
      <c r="H12" s="91"/>
      <c r="I12" s="156"/>
      <c r="L12" s="46" t="s">
        <v>166</v>
      </c>
    </row>
    <row r="13" spans="1:12" x14ac:dyDescent="0.2">
      <c r="A13" s="480"/>
      <c r="B13" s="480"/>
      <c r="C13" s="2"/>
      <c r="F13" s="490"/>
      <c r="G13" s="480"/>
      <c r="H13" s="480"/>
      <c r="I13" s="491"/>
      <c r="L13" s="46" t="s">
        <v>167</v>
      </c>
    </row>
    <row r="14" spans="1:12" x14ac:dyDescent="0.2">
      <c r="A14" s="480"/>
      <c r="B14" s="480"/>
      <c r="C14" s="2"/>
      <c r="F14" s="490"/>
      <c r="G14" s="480"/>
      <c r="H14" s="480"/>
      <c r="I14" s="491"/>
      <c r="L14" s="45" t="s">
        <v>168</v>
      </c>
    </row>
    <row r="15" spans="1:12" x14ac:dyDescent="0.2">
      <c r="A15" s="24"/>
      <c r="F15" s="490"/>
      <c r="G15" s="480"/>
      <c r="H15" s="480"/>
      <c r="I15" s="491"/>
      <c r="L15" s="47" t="s">
        <v>169</v>
      </c>
    </row>
    <row r="16" spans="1:12" ht="12.75" customHeight="1" x14ac:dyDescent="0.2">
      <c r="A16" s="24"/>
      <c r="F16" s="496"/>
      <c r="G16" s="497"/>
      <c r="H16" s="497"/>
      <c r="I16" s="498"/>
      <c r="L16" s="507" t="s">
        <v>170</v>
      </c>
    </row>
    <row r="17" spans="1:12" ht="27" customHeight="1" x14ac:dyDescent="0.35">
      <c r="A17" s="34" t="s">
        <v>171</v>
      </c>
      <c r="L17" s="507"/>
    </row>
    <row r="18" spans="1:12" x14ac:dyDescent="0.2">
      <c r="A18" s="508" t="str">
        <f>IF(OR(H25="BGSA darf nicht angewendet werden!",H27="BGSA darf nicht angewendet werden!",H29="BGSA darf nicht angewendet werden!",H31="BGSA darf nicht angewendet werden!",H33="BGSA darf nicht angewendet werden!",H35="BGSA darf nicht angewendet werden!",H37="BGSA darf nicht angewendet werden!",H43="BGSA darf nicht angewendet werden!",H39="BGSA darf nicht angewendet werden!",H41="BGSA darf nicht angewendet werden!"),"Es muss für alle das ordentliche Abrechnungsverfahren angewendet werden!","")</f>
        <v/>
      </c>
      <c r="B18" s="508"/>
      <c r="C18" s="508"/>
      <c r="D18" s="508"/>
      <c r="E18" s="508"/>
      <c r="F18" s="508"/>
      <c r="G18" s="508"/>
      <c r="H18" s="508"/>
      <c r="I18" s="508"/>
      <c r="L18" s="164"/>
    </row>
    <row r="19" spans="1:12" ht="12.75" customHeight="1" x14ac:dyDescent="0.2">
      <c r="A19" s="508"/>
      <c r="B19" s="508"/>
      <c r="C19" s="508"/>
      <c r="D19" s="508"/>
      <c r="E19" s="508"/>
      <c r="F19" s="508"/>
      <c r="G19" s="508"/>
      <c r="H19" s="508"/>
      <c r="I19" s="508"/>
      <c r="L19" s="44" t="s">
        <v>172</v>
      </c>
    </row>
    <row r="20" spans="1:12" x14ac:dyDescent="0.2">
      <c r="A20" s="508"/>
      <c r="B20" s="508"/>
      <c r="C20" s="508"/>
      <c r="D20" s="508"/>
      <c r="E20" s="508"/>
      <c r="F20" s="508"/>
      <c r="G20" s="508"/>
      <c r="H20" s="508"/>
      <c r="I20" s="508"/>
      <c r="L20" s="161" t="s">
        <v>173</v>
      </c>
    </row>
    <row r="21" spans="1:12" ht="13.5" thickBot="1" x14ac:dyDescent="0.25">
      <c r="A21" s="3"/>
      <c r="B21" s="3"/>
      <c r="C21" s="3"/>
      <c r="D21" s="3"/>
      <c r="E21" s="3"/>
      <c r="F21" s="3"/>
      <c r="G21" s="50" t="s">
        <v>174</v>
      </c>
      <c r="H21" s="506">
        <f>'PA 1'!A21</f>
        <v>45657</v>
      </c>
      <c r="I21" s="506"/>
      <c r="L21" s="176"/>
    </row>
    <row r="22" spans="1:12" s="157" customFormat="1" ht="25.5" customHeight="1" x14ac:dyDescent="0.2">
      <c r="A22" s="35" t="s">
        <v>175</v>
      </c>
      <c r="B22" s="16"/>
      <c r="C22" s="166"/>
      <c r="D22" s="390"/>
      <c r="E22" s="170"/>
      <c r="F22" s="499" t="s">
        <v>176</v>
      </c>
      <c r="G22" s="499"/>
      <c r="H22" s="500" t="s">
        <v>177</v>
      </c>
      <c r="I22" s="501"/>
      <c r="L22" s="1"/>
    </row>
    <row r="23" spans="1:12" s="157" customFormat="1" ht="12.75" customHeight="1" x14ac:dyDescent="0.2">
      <c r="A23" s="36" t="s">
        <v>178</v>
      </c>
      <c r="B23" s="17"/>
      <c r="C23" s="18" t="s">
        <v>179</v>
      </c>
      <c r="D23" s="169"/>
      <c r="E23" s="8"/>
      <c r="F23" s="172" t="s">
        <v>180</v>
      </c>
      <c r="G23" s="13" t="s">
        <v>181</v>
      </c>
      <c r="H23" s="502"/>
      <c r="I23" s="503"/>
      <c r="L23" s="1"/>
    </row>
    <row r="24" spans="1:12" s="157" customFormat="1" x14ac:dyDescent="0.2">
      <c r="A24" s="37" t="s">
        <v>182</v>
      </c>
      <c r="B24" s="19"/>
      <c r="C24" s="20" t="s">
        <v>183</v>
      </c>
      <c r="D24" s="9"/>
      <c r="E24" s="10"/>
      <c r="F24" s="173" t="s">
        <v>184</v>
      </c>
      <c r="G24" s="9" t="s">
        <v>184</v>
      </c>
      <c r="H24" s="504"/>
      <c r="I24" s="505"/>
      <c r="L24" s="1"/>
    </row>
    <row r="25" spans="1:12" ht="15" customHeight="1" x14ac:dyDescent="0.2">
      <c r="A25" s="38" t="str">
        <f>CONCATENATE('PA 1'!$C$6,$K$25,'PA 1'!$C$7)</f>
        <v xml:space="preserve">, </v>
      </c>
      <c r="B25" s="7"/>
      <c r="C25" s="14">
        <f>'PA 1'!$F$7</f>
        <v>0</v>
      </c>
      <c r="D25" s="175" t="str">
        <f>IF('PA 1'!$C$10="à choisir","",IF('PA 1'!$C$10="féminin","f","m"))</f>
        <v/>
      </c>
      <c r="E25" s="40"/>
      <c r="F25" s="11"/>
      <c r="G25" s="14"/>
      <c r="H25" s="492">
        <f>IF(DATEDIF(C25,'PA 1'!$C$21,"Y")&lt;17,0,IF(OR('PA 1'!$U$2&gt;22049.99,'PA 1'!$Q$38+'PA 1'!$Q$39&gt;22049.99),"BGSA darf nicht angewendet werden!",IF('PA 1'!$AG$3&lt;22049.99,'PA 1'!$Q$39+'PA 1'!$Q$38,'PA 1'!Q$39)))</f>
        <v>0</v>
      </c>
      <c r="I25" s="493"/>
      <c r="K25" s="1" t="s">
        <v>185</v>
      </c>
    </row>
    <row r="26" spans="1:12" ht="15" customHeight="1" x14ac:dyDescent="0.2">
      <c r="A26" s="37">
        <f>'PA 1'!$C$8</f>
        <v>0</v>
      </c>
      <c r="B26" s="10">
        <f>'PA 1'!$C$9</f>
        <v>0</v>
      </c>
      <c r="C26" s="488">
        <f>'PA 1'!$F$6</f>
        <v>0</v>
      </c>
      <c r="D26" s="489"/>
      <c r="E26" s="136"/>
      <c r="F26" s="174">
        <f>IF('PA 1'!$Q$37=0,0,IF('PA 1'!$C$14&lt;'PA 1'!$C$21,'PA 1'!$C$21,'PA 1'!$C$14))</f>
        <v>0</v>
      </c>
      <c r="G26" s="15">
        <f>IF('PA 1'!$Q$37=0,0,IF('PA 1'!$C$15&gt;0,'PA 1'!$C$15,$H$21))</f>
        <v>0</v>
      </c>
      <c r="H26" s="494"/>
      <c r="I26" s="495"/>
      <c r="J26" s="162" t="str">
        <f>IF(AND(H25=0,C25=0),"",IF(H25=0,"Lohnausweis erstellen!!",""))</f>
        <v/>
      </c>
    </row>
    <row r="27" spans="1:12" ht="15" customHeight="1" x14ac:dyDescent="0.2">
      <c r="A27" s="38" t="str">
        <f>CONCATENATE('PA 2'!$C$6,$K$25,'PA 2'!$C$7)</f>
        <v xml:space="preserve">, </v>
      </c>
      <c r="B27" s="7"/>
      <c r="C27" s="14">
        <f>'PA 2'!$F$7</f>
        <v>0</v>
      </c>
      <c r="D27" s="175" t="str">
        <f>IF('PA 2'!$C$10="à choisir","",IF('PA 2'!$C$10="féminin","f","m"))</f>
        <v/>
      </c>
      <c r="E27" s="40"/>
      <c r="F27" s="11"/>
      <c r="G27" s="14"/>
      <c r="H27" s="492">
        <f>IF(DATEDIF(C27,'PA 2'!$C$21,"Y")&lt;17,0,IF(OR('PA 2'!$U$2&gt;22049.99,'PA 2'!$Q$38+'PA 2'!$Q$39&gt;22049.99),"BGSA darf nicht angewendet werden!",IF('PA 2'!$AG$3&lt;22049.99,'PA 2'!$Q$39+'PA 2'!$Q$38,'PA 2'!Q$39)))</f>
        <v>0</v>
      </c>
      <c r="I27" s="493"/>
    </row>
    <row r="28" spans="1:12" ht="15" customHeight="1" x14ac:dyDescent="0.2">
      <c r="A28" s="37">
        <f>'PA 2'!$C$8</f>
        <v>0</v>
      </c>
      <c r="B28" s="10">
        <f>'PA 2'!$C$9</f>
        <v>0</v>
      </c>
      <c r="C28" s="488">
        <f>'PA 2'!$F$6</f>
        <v>0</v>
      </c>
      <c r="D28" s="489"/>
      <c r="E28" s="136"/>
      <c r="F28" s="174">
        <f>IF('PA 2'!$Q$37=0,0,IF('PA 2'!$C$14&lt;'PA 2'!$C$21,'PA 2'!$C$21,'PA 2'!$C$14))</f>
        <v>0</v>
      </c>
      <c r="G28" s="15">
        <f>IF('PA 2'!$Q$37=0,0,IF('PA 2'!$C$15&gt;0,'PA 2'!$C$15,$H$21))</f>
        <v>0</v>
      </c>
      <c r="H28" s="494"/>
      <c r="I28" s="495"/>
      <c r="J28" s="162" t="str">
        <f>IF(AND(H27=0,C27=0),"",IF(H27=0,"Lohnausweis erstellen!!",""))</f>
        <v/>
      </c>
    </row>
    <row r="29" spans="1:12" ht="15" customHeight="1" x14ac:dyDescent="0.2">
      <c r="A29" s="38" t="str">
        <f>CONCATENATE('PA 3'!$C$6,$K$25,'PA 3'!$C$7)</f>
        <v xml:space="preserve">, </v>
      </c>
      <c r="B29" s="7"/>
      <c r="C29" s="14">
        <f>'PA 3'!$F$7</f>
        <v>0</v>
      </c>
      <c r="D29" s="175" t="str">
        <f>IF('PA 3'!$C$10="à choisir","",IF('PA 3'!$C$10="féminin","f","m"))</f>
        <v/>
      </c>
      <c r="E29" s="40"/>
      <c r="F29" s="11"/>
      <c r="G29" s="14"/>
      <c r="H29" s="492">
        <f>IF(DATEDIF(C29,'PA 3'!$C$21,"Y")&lt;17,0,IF(OR('PA 3'!$U$2&gt;22049.99,'PA 3'!$Q$38+'PA 3'!$Q$39&gt;22049.99),"BGSA darf nicht angewendet werden!",IF('PA 3'!$AG$3&lt;22049.99,'PA 3'!$Q$39+'PA 3'!$Q$38,'PA 3'!Q$39)))</f>
        <v>0</v>
      </c>
      <c r="I29" s="493"/>
    </row>
    <row r="30" spans="1:12" ht="15" customHeight="1" x14ac:dyDescent="0.2">
      <c r="A30" s="37">
        <f>'PA 3'!$C$8</f>
        <v>0</v>
      </c>
      <c r="B30" s="10">
        <f>'PA 3'!$C$9</f>
        <v>0</v>
      </c>
      <c r="C30" s="488">
        <f>'PA 3'!$F$6</f>
        <v>0</v>
      </c>
      <c r="D30" s="489"/>
      <c r="E30" s="136"/>
      <c r="F30" s="174">
        <f>IF('PA 3'!$Q$37=0,0,IF('PA 3'!$C$14&lt;'PA 3'!$C$21,'PA 3'!$C$21,'PA 3'!$C$14))</f>
        <v>0</v>
      </c>
      <c r="G30" s="15">
        <f>IF('PA 3'!$Q$37=0,0,IF('PA 3'!$C$15&gt;0,'PA 3'!$C$15,$H$21))</f>
        <v>0</v>
      </c>
      <c r="H30" s="494"/>
      <c r="I30" s="495"/>
      <c r="J30" s="162" t="str">
        <f>IF(AND(H29=0,C29=0),"",IF(H29=0,"Lohnausweis erstellen!!",""))</f>
        <v/>
      </c>
    </row>
    <row r="31" spans="1:12" ht="15" customHeight="1" x14ac:dyDescent="0.2">
      <c r="A31" s="38" t="str">
        <f>CONCATENATE('PA 4'!$C$6,$K$25,'PA 4'!$C$7)</f>
        <v xml:space="preserve">, </v>
      </c>
      <c r="B31" s="7"/>
      <c r="C31" s="14">
        <f>'PA 4'!$F$7</f>
        <v>0</v>
      </c>
      <c r="D31" s="175" t="str">
        <f>IF('PA 4'!$C$10="à choisir","",IF('PA 4'!$C$10="féminin","f","m"))</f>
        <v/>
      </c>
      <c r="E31" s="40"/>
      <c r="F31" s="11"/>
      <c r="G31" s="14"/>
      <c r="H31" s="492">
        <f>IF(DATEDIF(C31,'PA 4'!$C$21,"Y")&lt;17,0,IF(OR('PA 4'!$U$2&gt;22049.99,'PA 4'!$Q$38+'PA 4'!$Q$39&gt;22049.99),"BGSA darf nicht angewendet werden!",IF('PA 4'!$AG$3&lt;22049.99,'PA 4'!$Q$39+'PA 4'!$Q$38,'PA 4'!Q$39)))</f>
        <v>0</v>
      </c>
      <c r="I31" s="493"/>
    </row>
    <row r="32" spans="1:12" ht="15" customHeight="1" x14ac:dyDescent="0.2">
      <c r="A32" s="37">
        <f>'PA 4'!$C$8</f>
        <v>0</v>
      </c>
      <c r="B32" s="10">
        <f>'PA 4'!$C$9</f>
        <v>0</v>
      </c>
      <c r="C32" s="488">
        <f>'PA 4'!$F$6</f>
        <v>0</v>
      </c>
      <c r="D32" s="489"/>
      <c r="E32" s="136"/>
      <c r="F32" s="174">
        <f>IF('PA 4'!$Q$37=0,0,IF('PA 4'!$C$14&lt;'PA 4'!$C$21,'PA 4'!$C$21,'PA 4'!$C$14))</f>
        <v>0</v>
      </c>
      <c r="G32" s="15">
        <f>IF('PA 4'!$Q$37=0,0,IF('PA 4'!$C$15&gt;0,'PA 4'!$C$15,$H$21))</f>
        <v>0</v>
      </c>
      <c r="H32" s="494"/>
      <c r="I32" s="495"/>
      <c r="J32" s="162" t="str">
        <f>IF(AND(H31=0,C31=0),"",IF(H31=0,"Lohnausweis erstellen!!",""))</f>
        <v/>
      </c>
    </row>
    <row r="33" spans="1:10" ht="15" customHeight="1" x14ac:dyDescent="0.2">
      <c r="A33" s="38" t="str">
        <f>CONCATENATE('PA 5'!$C$6,$K$25,'PA 5'!$C$7)</f>
        <v xml:space="preserve">, </v>
      </c>
      <c r="B33" s="7"/>
      <c r="C33" s="14">
        <f>'PA 5'!$F$7</f>
        <v>0</v>
      </c>
      <c r="D33" s="175" t="str">
        <f>IF('PA 5'!$C$10="à choisir","",IF('PA 5'!$C$10="féminin","f","m"))</f>
        <v/>
      </c>
      <c r="E33" s="40"/>
      <c r="F33" s="11"/>
      <c r="G33" s="14"/>
      <c r="H33" s="492">
        <f>IF(DATEDIF(C33,'PA 5'!$C$21,"Y")&lt;17,0,IF(OR('PA 5'!$U$2&gt;22049.99,'PA 5'!$Q$38+'PA 5'!$Q$39&gt;22049.99),"BGSA darf nicht angewendet werden!",IF('PA 5'!$AG$3&lt;22049.99,'PA 5'!$Q$39+'PA 5'!$Q$38,'PA 5'!Q$39)))</f>
        <v>0</v>
      </c>
      <c r="I33" s="493"/>
    </row>
    <row r="34" spans="1:10" ht="15" customHeight="1" x14ac:dyDescent="0.2">
      <c r="A34" s="37">
        <f>'PA 5'!$C$8</f>
        <v>0</v>
      </c>
      <c r="B34" s="10">
        <f>'PA 5'!$C$9</f>
        <v>0</v>
      </c>
      <c r="C34" s="488">
        <f>'PA 5'!$F$6</f>
        <v>0</v>
      </c>
      <c r="D34" s="489"/>
      <c r="E34" s="136"/>
      <c r="F34" s="174">
        <f>IF('PA 5'!$Q$37=0,0,IF('PA 5'!$C$14&lt;'PA 5'!$C$21,'PA 5'!$C$21,'PA 5'!$C$14))</f>
        <v>0</v>
      </c>
      <c r="G34" s="15">
        <f>IF('PA 5'!$Q$37=0,0,IF('PA 5'!$C$15&gt;0,'PA 5'!$C$15,$H$21))</f>
        <v>0</v>
      </c>
      <c r="H34" s="494"/>
      <c r="I34" s="495"/>
      <c r="J34" s="162" t="str">
        <f>IF(AND(H33=0,C33=0),"",IF(H33=0,"Lohnausweis erstellen!!",""))</f>
        <v/>
      </c>
    </row>
    <row r="35" spans="1:10" ht="15" customHeight="1" x14ac:dyDescent="0.2">
      <c r="A35" s="38" t="str">
        <f>CONCATENATE('PA 6'!$C$6,$K$25,'PA 6'!$C$7)</f>
        <v xml:space="preserve">, </v>
      </c>
      <c r="B35" s="7"/>
      <c r="C35" s="14">
        <f>'PA 6'!$F$7</f>
        <v>0</v>
      </c>
      <c r="D35" s="175" t="str">
        <f>IF('PA 6'!$C$10="à choisir","",IF('PA 6'!$C$10="féminin","f","m"))</f>
        <v/>
      </c>
      <c r="E35" s="40"/>
      <c r="F35" s="11"/>
      <c r="G35" s="14"/>
      <c r="H35" s="492">
        <f>IF(DATEDIF(C35,'PA 6'!$C$21,"Y")&lt;17,0,IF(OR('PA 6'!$U$2&gt;22049.99,'PA 6'!$Q$38+'PA 6'!$Q$39&gt;22049.99),"BGSA darf nicht angewendet werden!",IF('PA 6'!$AG$3&lt;22049.99,'PA 6'!$Q$39+'PA 6'!$Q$38,'PA 6'!Q$39)))</f>
        <v>0</v>
      </c>
      <c r="I35" s="493"/>
    </row>
    <row r="36" spans="1:10" ht="15" customHeight="1" x14ac:dyDescent="0.2">
      <c r="A36" s="37">
        <f>'PA 6'!$C$8</f>
        <v>0</v>
      </c>
      <c r="B36" s="10">
        <f>'PA 6'!$C$9</f>
        <v>0</v>
      </c>
      <c r="C36" s="488">
        <f>'PA 6'!$F$6</f>
        <v>0</v>
      </c>
      <c r="D36" s="489"/>
      <c r="E36" s="136"/>
      <c r="F36" s="174">
        <f>IF('PA 6'!$Q$37=0,0,IF('PA 6'!$C$14&lt;'PA 6'!$C$21,'PA 6'!$C$21,'PA 6'!$C$14))</f>
        <v>0</v>
      </c>
      <c r="G36" s="15">
        <f>IF('PA 6'!$Q$37=0,0,IF('PA 6'!$C$15&gt;0,'PA 6'!$C$15,$H$21))</f>
        <v>0</v>
      </c>
      <c r="H36" s="494"/>
      <c r="I36" s="495"/>
      <c r="J36" s="162" t="str">
        <f>IF(AND(H35=0,C35=0),"",IF(H35=0,"Lohnausweis erstellen!!",""))</f>
        <v/>
      </c>
    </row>
    <row r="37" spans="1:10" ht="15" customHeight="1" x14ac:dyDescent="0.2">
      <c r="A37" s="38" t="str">
        <f>CONCATENATE('PA 7'!$C$6,$K$25,'PA 7'!$C$7)</f>
        <v xml:space="preserve">, </v>
      </c>
      <c r="B37" s="7"/>
      <c r="C37" s="14">
        <f>'PA 7'!$F$7</f>
        <v>0</v>
      </c>
      <c r="D37" s="175" t="str">
        <f>IF('PA 7'!$C$10="à choisir","",IF('PA 7'!$C$10="féminin","f","m"))</f>
        <v/>
      </c>
      <c r="E37" s="40"/>
      <c r="F37" s="11"/>
      <c r="G37" s="14"/>
      <c r="H37" s="492">
        <f>IF(DATEDIF(C37,'PA 7'!$C$21,"Y")&lt;17,0,IF(OR('PA 7'!$U$2&gt;22049.99,'PA 7'!$Q$38+'PA 7'!$Q$39&gt;22049.99),"BGSA darf nicht angewendet werden!",IF('PA 7'!$AG$3&lt;22049.99,'PA 7'!$Q$39+'PA 7'!$Q$38,'PA 7'!Q$39)))</f>
        <v>0</v>
      </c>
      <c r="I37" s="493"/>
    </row>
    <row r="38" spans="1:10" ht="15" customHeight="1" x14ac:dyDescent="0.2">
      <c r="A38" s="37">
        <f>'PA 7'!$C$8</f>
        <v>0</v>
      </c>
      <c r="B38" s="10">
        <f>'PA 7'!$C$9</f>
        <v>0</v>
      </c>
      <c r="C38" s="488">
        <f>'PA 7'!$F$6</f>
        <v>0</v>
      </c>
      <c r="D38" s="489"/>
      <c r="E38" s="136"/>
      <c r="F38" s="174">
        <f>IF('PA 7'!$Q$37=0,0,IF('PA 7'!$C$14&lt;'PA 7'!$C$21,'PA 7'!$C$21,'PA 7'!$C$14))</f>
        <v>0</v>
      </c>
      <c r="G38" s="15">
        <f>IF('PA 7'!$Q$37=0,0,IF('PA 7'!$C$15&gt;0,'PA 7'!$C$15,$H$21))</f>
        <v>0</v>
      </c>
      <c r="H38" s="494"/>
      <c r="I38" s="495"/>
      <c r="J38" s="162" t="str">
        <f>IF(AND(H37=0,C37=0),"",IF(H37=0,"Lohnausweis erstellen!!",""))</f>
        <v/>
      </c>
    </row>
    <row r="39" spans="1:10" ht="15" customHeight="1" x14ac:dyDescent="0.2">
      <c r="A39" s="38" t="str">
        <f>CONCATENATE('PA 8'!$C$6,$K$25,'PA 8'!$C$7)</f>
        <v xml:space="preserve">, </v>
      </c>
      <c r="B39" s="7"/>
      <c r="C39" s="14">
        <f>'PA 8'!$F$7</f>
        <v>0</v>
      </c>
      <c r="D39" s="175" t="str">
        <f>IF('PA 8'!$C$10="à choisir","",IF('PA 8'!$C$10="féminin","f","m"))</f>
        <v/>
      </c>
      <c r="E39" s="40"/>
      <c r="F39" s="11"/>
      <c r="G39" s="14"/>
      <c r="H39" s="492">
        <f>IF(DATEDIF(C39,'PA 8'!$C$21,"Y")&lt;17,0,IF(OR('PA 8'!$U$2&gt;22049.99,'PA 8'!$Q$38+'PA 8'!$Q$39&gt;22049.99),"BGSA darf nicht angewendet werden!",IF('PA 8'!$AG$3&lt;22049.99,'PA 8'!$Q$39+'PA 8'!$Q$38,'PA 8'!Q$39)))</f>
        <v>0</v>
      </c>
      <c r="I39" s="493"/>
    </row>
    <row r="40" spans="1:10" ht="15" customHeight="1" x14ac:dyDescent="0.2">
      <c r="A40" s="37">
        <f>'PA 8'!$C$8</f>
        <v>0</v>
      </c>
      <c r="B40" s="10">
        <f>'PA 8'!$C$9</f>
        <v>0</v>
      </c>
      <c r="C40" s="488">
        <f>'PA 8'!$F$6</f>
        <v>0</v>
      </c>
      <c r="D40" s="489"/>
      <c r="E40" s="136"/>
      <c r="F40" s="174">
        <f>IF('PA 8'!$Q$37=0,0,IF('PA 8'!$C$14&lt;'PA 8'!$C$21,'PA 8'!$C$21,'PA 8'!$C$14))</f>
        <v>0</v>
      </c>
      <c r="G40" s="15">
        <f>IF('PA 8'!$Q$37=0,0,IF('PA 8'!$C$15&gt;0,'PA 8'!$C$15,$H$21))</f>
        <v>0</v>
      </c>
      <c r="H40" s="494"/>
      <c r="I40" s="495"/>
      <c r="J40" s="162" t="str">
        <f>IF(AND(H39=0,C39=0),"",IF(H39=0,"Lohnausweis erstellen!!",""))</f>
        <v/>
      </c>
    </row>
    <row r="41" spans="1:10" ht="15" customHeight="1" x14ac:dyDescent="0.2">
      <c r="A41" s="38" t="str">
        <f>CONCATENATE('PA 9'!$C$6,$K$25,'PA 9'!$C$7)</f>
        <v xml:space="preserve">, </v>
      </c>
      <c r="B41" s="7"/>
      <c r="C41" s="14">
        <f>'PA 9'!$F$7</f>
        <v>0</v>
      </c>
      <c r="D41" s="175" t="str">
        <f>IF('PA 9'!$C$10="à choisir","",IF('PA 9'!$C$10="féminin","f","m"))</f>
        <v/>
      </c>
      <c r="E41" s="40"/>
      <c r="F41" s="11"/>
      <c r="G41" s="14"/>
      <c r="H41" s="492">
        <f>IF(DATEDIF(C41,'PA 9'!$C$21,"Y")&lt;17,0,IF(OR('PA 9'!$U$2&gt;22049.99,'PA 9'!$Q$38+'PA 9'!$Q$39&gt;22049.99),"BGSA darf nicht angewendet werden!",IF('PA 9'!$AG$3&lt;22049.99,'PA 9'!$Q$39+'PA 9'!$Q$38,'PA 9'!Q$39)))</f>
        <v>0</v>
      </c>
      <c r="I41" s="493"/>
    </row>
    <row r="42" spans="1:10" ht="15" customHeight="1" x14ac:dyDescent="0.2">
      <c r="A42" s="37">
        <f>'PA 9'!$C$8</f>
        <v>0</v>
      </c>
      <c r="B42" s="10">
        <f>'PA 9'!$C$9</f>
        <v>0</v>
      </c>
      <c r="C42" s="488">
        <f>'PA 9'!$F$6</f>
        <v>0</v>
      </c>
      <c r="D42" s="489"/>
      <c r="E42" s="136"/>
      <c r="F42" s="174">
        <f>IF('PA 9'!$Q$37=0,0,IF('PA 9'!$C$14&lt;'PA 9'!$C$21,'PA 9'!$C$21,'PA 9'!$C$14))</f>
        <v>0</v>
      </c>
      <c r="G42" s="15">
        <f>IF('PA 9'!$Q$37=0,0,IF('PA 9'!$C$15&gt;0,'PA 9'!$C$15,$H$21))</f>
        <v>0</v>
      </c>
      <c r="H42" s="494"/>
      <c r="I42" s="495"/>
      <c r="J42" s="162" t="str">
        <f>IF(AND(H41=0,C41=0),"",IF(H41=0,"Lohnausweis erstellen!!",""))</f>
        <v/>
      </c>
    </row>
    <row r="43" spans="1:10" ht="27" customHeight="1" thickBot="1" x14ac:dyDescent="0.25">
      <c r="A43" s="21"/>
      <c r="B43" s="21"/>
      <c r="C43" s="22"/>
      <c r="D43" s="22"/>
      <c r="E43" s="22"/>
      <c r="F43" s="22"/>
      <c r="G43" s="23" t="s">
        <v>126</v>
      </c>
      <c r="H43" s="514">
        <f>IF(SUM(H25:I42)&lt;58800,SUM(H25:I42),"BGSA darf nicht angewendet werden!")</f>
        <v>0</v>
      </c>
      <c r="I43" s="515"/>
    </row>
    <row r="44" spans="1:10" ht="15" customHeight="1" thickTop="1" x14ac:dyDescent="0.2"/>
    <row r="45" spans="1:10" ht="15" customHeight="1" x14ac:dyDescent="0.2">
      <c r="A45" s="27" t="s">
        <v>186</v>
      </c>
      <c r="B45" s="28"/>
      <c r="C45" s="26"/>
      <c r="D45" s="156"/>
      <c r="F45" s="481" t="s">
        <v>187</v>
      </c>
      <c r="G45" s="481"/>
      <c r="H45" s="481"/>
      <c r="I45" s="481"/>
    </row>
    <row r="46" spans="1:10" ht="15" customHeight="1" x14ac:dyDescent="0.2">
      <c r="A46" s="482"/>
      <c r="B46" s="483"/>
      <c r="C46" s="483"/>
      <c r="D46" s="484"/>
      <c r="E46" s="32"/>
      <c r="F46" s="481"/>
      <c r="G46" s="481"/>
      <c r="H46" s="481"/>
      <c r="I46" s="481"/>
    </row>
    <row r="47" spans="1:10" ht="15" customHeight="1" x14ac:dyDescent="0.2">
      <c r="A47" s="29" t="s">
        <v>188</v>
      </c>
      <c r="B47" s="2"/>
      <c r="D47" s="143"/>
      <c r="E47" s="177"/>
      <c r="F47" s="481"/>
      <c r="G47" s="481"/>
      <c r="H47" s="481"/>
      <c r="I47" s="481"/>
    </row>
    <row r="48" spans="1:10" x14ac:dyDescent="0.2">
      <c r="A48" s="29" t="s">
        <v>189</v>
      </c>
      <c r="B48" s="2"/>
      <c r="D48" s="143"/>
      <c r="E48" s="177"/>
      <c r="F48" s="481"/>
      <c r="G48" s="481"/>
      <c r="H48" s="481"/>
      <c r="I48" s="481"/>
    </row>
    <row r="49" spans="1:9" x14ac:dyDescent="0.2">
      <c r="A49" s="30" t="s">
        <v>190</v>
      </c>
      <c r="B49" s="31"/>
      <c r="C49" s="3"/>
      <c r="D49" s="171"/>
      <c r="E49" s="177"/>
      <c r="F49" s="481"/>
      <c r="G49" s="481"/>
      <c r="H49" s="481"/>
      <c r="I49" s="481"/>
    </row>
    <row r="50" spans="1:9" ht="15" customHeight="1" x14ac:dyDescent="0.2">
      <c r="A50" s="32" t="s">
        <v>191</v>
      </c>
      <c r="B50" s="2"/>
      <c r="D50" s="143"/>
      <c r="E50" s="177"/>
      <c r="F50" s="481"/>
      <c r="G50" s="481"/>
      <c r="H50" s="481"/>
      <c r="I50" s="481"/>
    </row>
    <row r="51" spans="1:9" ht="15" customHeight="1" x14ac:dyDescent="0.2">
      <c r="A51" s="485"/>
      <c r="B51" s="486"/>
      <c r="C51" s="486"/>
      <c r="D51" s="487"/>
      <c r="E51" s="178"/>
      <c r="F51" s="481"/>
      <c r="G51" s="481"/>
      <c r="H51" s="481"/>
      <c r="I51" s="481"/>
    </row>
    <row r="52" spans="1:9" ht="15" customHeight="1" x14ac:dyDescent="0.2">
      <c r="A52" s="417"/>
      <c r="B52" s="418"/>
      <c r="C52" s="418"/>
      <c r="D52" s="419"/>
      <c r="E52" s="178"/>
      <c r="F52" s="481"/>
      <c r="G52" s="481"/>
      <c r="H52" s="481"/>
      <c r="I52" s="481"/>
    </row>
    <row r="53" spans="1:9" ht="15" customHeight="1" x14ac:dyDescent="0.2">
      <c r="A53" s="417"/>
      <c r="B53" s="418"/>
      <c r="C53" s="418"/>
      <c r="D53" s="419"/>
      <c r="E53" s="178"/>
      <c r="G53" s="33"/>
      <c r="H53" s="33"/>
      <c r="I53" s="33"/>
    </row>
    <row r="54" spans="1:9" x14ac:dyDescent="0.2">
      <c r="A54" s="485"/>
      <c r="B54" s="486"/>
      <c r="C54" s="486"/>
      <c r="D54" s="487"/>
      <c r="E54" s="178"/>
      <c r="F54" s="3"/>
      <c r="G54" s="3"/>
      <c r="H54" s="3"/>
      <c r="I54" s="3"/>
    </row>
    <row r="55" spans="1:9" x14ac:dyDescent="0.2">
      <c r="A55" s="477"/>
      <c r="B55" s="478"/>
      <c r="C55" s="478"/>
      <c r="D55" s="479"/>
      <c r="E55" s="178"/>
      <c r="F55" s="216" t="s">
        <v>192</v>
      </c>
      <c r="I55" s="363" t="s">
        <v>193</v>
      </c>
    </row>
  </sheetData>
  <sheetProtection algorithmName="SHA-512" hashValue="uF43h8zdPnJfaq+jNU/wjaTQ1OiZCRBSLYB9gLipC7CRWaHIeSXoMPn7ftOVjzCN8LSJxOF12iNrq+jFUo41Sw==" saltValue="hc+/W/i2jUY7djcnHXCb7A==" spinCount="100000" sheet="1" objects="1" scenarios="1"/>
  <mergeCells count="44">
    <mergeCell ref="H37:I38"/>
    <mergeCell ref="H43:I43"/>
    <mergeCell ref="H41:I42"/>
    <mergeCell ref="H39:I40"/>
    <mergeCell ref="H31:I32"/>
    <mergeCell ref="H29:I30"/>
    <mergeCell ref="H27:I28"/>
    <mergeCell ref="H25:I26"/>
    <mergeCell ref="H35:I36"/>
    <mergeCell ref="F1:I4"/>
    <mergeCell ref="H7:I7"/>
    <mergeCell ref="H6:I6"/>
    <mergeCell ref="F13:I13"/>
    <mergeCell ref="A1:C3"/>
    <mergeCell ref="A8:B8"/>
    <mergeCell ref="A9:B9"/>
    <mergeCell ref="A10:B10"/>
    <mergeCell ref="A11:B11"/>
    <mergeCell ref="A12:B12"/>
    <mergeCell ref="A13:B13"/>
    <mergeCell ref="L16:L17"/>
    <mergeCell ref="A18:I20"/>
    <mergeCell ref="C26:D26"/>
    <mergeCell ref="C28:D28"/>
    <mergeCell ref="F16:I16"/>
    <mergeCell ref="F22:G22"/>
    <mergeCell ref="H22:I24"/>
    <mergeCell ref="H21:I21"/>
    <mergeCell ref="A55:D55"/>
    <mergeCell ref="A14:B14"/>
    <mergeCell ref="F45:I52"/>
    <mergeCell ref="A46:D46"/>
    <mergeCell ref="A51:D51"/>
    <mergeCell ref="A54:D54"/>
    <mergeCell ref="C40:D40"/>
    <mergeCell ref="C42:D42"/>
    <mergeCell ref="C32:D32"/>
    <mergeCell ref="C34:D34"/>
    <mergeCell ref="C36:D36"/>
    <mergeCell ref="C38:D38"/>
    <mergeCell ref="C30:D30"/>
    <mergeCell ref="F14:I14"/>
    <mergeCell ref="F15:I15"/>
    <mergeCell ref="H33:I34"/>
  </mergeCells>
  <phoneticPr fontId="0" type="noConversion"/>
  <conditionalFormatting sqref="A9:A14">
    <cfRule type="expression" dxfId="18" priority="19">
      <formula>A9&gt;0</formula>
    </cfRule>
  </conditionalFormatting>
  <conditionalFormatting sqref="A46">
    <cfRule type="expression" dxfId="17" priority="1">
      <formula>$A$46&gt;0</formula>
    </cfRule>
  </conditionalFormatting>
  <conditionalFormatting sqref="A51:A55 E51:E55">
    <cfRule type="expression" dxfId="16" priority="80">
      <formula>$A$51&gt;0</formula>
    </cfRule>
  </conditionalFormatting>
  <conditionalFormatting sqref="A8:B8">
    <cfRule type="expression" dxfId="15" priority="2">
      <formula>A8&gt;0</formula>
    </cfRule>
  </conditionalFormatting>
  <conditionalFormatting sqref="A18:I20">
    <cfRule type="beginsWith" dxfId="14" priority="35" operator="beginsWith" text="Es muss ">
      <formula>LEFT(A18,LEN("Es muss "))="Es muss "</formula>
    </cfRule>
  </conditionalFormatting>
  <conditionalFormatting sqref="E46">
    <cfRule type="expression" dxfId="13" priority="81">
      <formula>$A$46&gt;0</formula>
    </cfRule>
  </conditionalFormatting>
  <conditionalFormatting sqref="F13:F16">
    <cfRule type="expression" dxfId="12" priority="12">
      <formula>F13&gt;0</formula>
    </cfRule>
  </conditionalFormatting>
  <conditionalFormatting sqref="G7">
    <cfRule type="expression" dxfId="11" priority="71">
      <formula>G7&gt;0</formula>
    </cfRule>
  </conditionalFormatting>
  <conditionalFormatting sqref="H6">
    <cfRule type="expression" dxfId="10" priority="70">
      <formula>H6&gt;0</formula>
    </cfRule>
  </conditionalFormatting>
  <conditionalFormatting sqref="H25">
    <cfRule type="expression" dxfId="9" priority="46">
      <formula>H25&gt;21330</formula>
    </cfRule>
  </conditionalFormatting>
  <conditionalFormatting sqref="H27">
    <cfRule type="expression" dxfId="8" priority="10">
      <formula>H27&gt;21330</formula>
    </cfRule>
  </conditionalFormatting>
  <conditionalFormatting sqref="H29">
    <cfRule type="expression" dxfId="7" priority="9">
      <formula>H29&gt;21330</formula>
    </cfRule>
  </conditionalFormatting>
  <conditionalFormatting sqref="H31">
    <cfRule type="expression" dxfId="6" priority="8">
      <formula>H31&gt;21330</formula>
    </cfRule>
  </conditionalFormatting>
  <conditionalFormatting sqref="H33">
    <cfRule type="expression" dxfId="5" priority="7">
      <formula>H33&gt;21330</formula>
    </cfRule>
  </conditionalFormatting>
  <conditionalFormatting sqref="H35">
    <cfRule type="expression" dxfId="4" priority="6">
      <formula>H35&gt;21330</formula>
    </cfRule>
  </conditionalFormatting>
  <conditionalFormatting sqref="H37">
    <cfRule type="expression" dxfId="3" priority="5">
      <formula>H37&gt;21330</formula>
    </cfRule>
  </conditionalFormatting>
  <conditionalFormatting sqref="H39">
    <cfRule type="expression" dxfId="2" priority="4">
      <formula>H39&gt;21330</formula>
    </cfRule>
  </conditionalFormatting>
  <conditionalFormatting sqref="H41">
    <cfRule type="expression" dxfId="1" priority="3">
      <formula>H41&gt;21330</formula>
    </cfRule>
  </conditionalFormatting>
  <conditionalFormatting sqref="H43">
    <cfRule type="beginsWith" dxfId="0" priority="34" operator="beginsWith" text="BGSA">
      <formula>LEFT(H43,LEN("BGSA"))="BGSA"</formula>
    </cfRule>
  </conditionalFormatting>
  <hyperlinks>
    <hyperlink ref="A18:I20" location="'AHV Formular (ordentlich)'!A1" display="'AHV Formular (ordentlich)'!A1" xr:uid="{00000000-0004-0000-0A00-000001000000}"/>
    <hyperlink ref="L20" location="'Attestation du salaire (ord.)'!Druckbereich" display="Attestation de salaire AVS ordinaire" xr:uid="{FE9DCFA7-8C20-4AFA-9FD9-AAADD6D869F7}"/>
  </hyperlinks>
  <pageMargins left="0.23622047244094491" right="0.23622047244094491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28575</xdr:rowOff>
                  </from>
                  <to>
                    <xdr:col>0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180975</xdr:rowOff>
                  </from>
                  <to>
                    <xdr:col>0</xdr:col>
                    <xdr:colOff>285750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28575</xdr:rowOff>
                  </from>
                  <to>
                    <xdr:col>0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180975</xdr:rowOff>
                  </from>
                  <to>
                    <xdr:col>0</xdr:col>
                    <xdr:colOff>285750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N58"/>
  <sheetViews>
    <sheetView showGridLines="0" showZeros="0" showOutlineSymbols="0" zoomScaleNormal="100" workbookViewId="0">
      <selection activeCell="B42" sqref="B42:D42"/>
    </sheetView>
  </sheetViews>
  <sheetFormatPr baseColWidth="10" defaultColWidth="11.42578125" defaultRowHeight="12.75" x14ac:dyDescent="0.2"/>
  <cols>
    <col min="1" max="1" width="12.7109375" style="1" customWidth="1"/>
    <col min="2" max="2" width="10.7109375" style="1" customWidth="1"/>
    <col min="3" max="3" width="11" style="1" customWidth="1"/>
    <col min="4" max="4" width="6.7109375" style="1" customWidth="1"/>
    <col min="5" max="6" width="8.7109375" style="1" customWidth="1"/>
    <col min="7" max="7" width="11.7109375" style="1" customWidth="1"/>
    <col min="8" max="8" width="12.7109375" style="1" customWidth="1" collapsed="1"/>
    <col min="9" max="10" width="12.7109375" style="1" customWidth="1"/>
    <col min="11" max="11" width="11.42578125" style="1"/>
    <col min="12" max="12" width="0" style="1" hidden="1" customWidth="1"/>
    <col min="13" max="13" width="47.7109375" style="1" customWidth="1"/>
    <col min="14" max="16384" width="11.42578125" style="1"/>
  </cols>
  <sheetData>
    <row r="1" spans="1:13" ht="12.75" customHeight="1" x14ac:dyDescent="0.2">
      <c r="A1" s="509"/>
      <c r="B1" s="509"/>
      <c r="C1" s="509"/>
      <c r="D1" s="391"/>
      <c r="E1" s="155"/>
      <c r="G1" s="520" t="s">
        <v>194</v>
      </c>
      <c r="H1" s="520"/>
      <c r="I1" s="520"/>
      <c r="J1" s="520"/>
    </row>
    <row r="2" spans="1:13" ht="12.75" customHeight="1" thickBot="1" x14ac:dyDescent="0.25">
      <c r="A2" s="509"/>
      <c r="B2" s="509"/>
      <c r="C2" s="509"/>
      <c r="D2" s="391"/>
      <c r="E2" s="155"/>
      <c r="G2" s="520"/>
      <c r="H2" s="520"/>
      <c r="I2" s="520"/>
      <c r="J2" s="520"/>
    </row>
    <row r="3" spans="1:13" ht="12.75" customHeight="1" x14ac:dyDescent="0.2">
      <c r="A3" s="509"/>
      <c r="B3" s="509"/>
      <c r="C3" s="509"/>
      <c r="D3" s="391"/>
      <c r="E3" s="155"/>
      <c r="G3" s="520"/>
      <c r="H3" s="520"/>
      <c r="I3" s="520"/>
      <c r="J3" s="520"/>
      <c r="M3" s="160" t="s">
        <v>195</v>
      </c>
    </row>
    <row r="4" spans="1:13" ht="15" customHeight="1" x14ac:dyDescent="0.25">
      <c r="A4" s="155"/>
      <c r="B4" s="145"/>
      <c r="C4" s="145"/>
      <c r="D4" s="145"/>
      <c r="E4" s="146"/>
      <c r="G4" s="155"/>
      <c r="H4" s="155"/>
      <c r="I4" s="155"/>
      <c r="J4" s="155"/>
      <c r="M4" s="517" t="s">
        <v>196</v>
      </c>
    </row>
    <row r="5" spans="1:13" x14ac:dyDescent="0.2">
      <c r="A5" s="24"/>
      <c r="G5" s="35" t="s">
        <v>154</v>
      </c>
      <c r="H5" s="91"/>
      <c r="I5" s="521">
        <f ca="1">TODAY()</f>
        <v>45286</v>
      </c>
      <c r="J5" s="522"/>
      <c r="M5" s="517"/>
    </row>
    <row r="6" spans="1:13" ht="13.5" thickBot="1" x14ac:dyDescent="0.25">
      <c r="G6" s="36" t="s">
        <v>156</v>
      </c>
      <c r="H6" s="4"/>
      <c r="I6" s="523"/>
      <c r="J6" s="524"/>
      <c r="M6" s="240"/>
    </row>
    <row r="7" spans="1:13" x14ac:dyDescent="0.2">
      <c r="A7" s="516" t="s">
        <v>158</v>
      </c>
      <c r="B7" s="516"/>
      <c r="C7" s="516"/>
      <c r="D7" s="516"/>
      <c r="G7" s="89" t="s">
        <v>159</v>
      </c>
      <c r="H7" s="92"/>
      <c r="I7" s="137"/>
      <c r="J7" s="90"/>
    </row>
    <row r="8" spans="1:13" x14ac:dyDescent="0.2">
      <c r="A8" s="480"/>
      <c r="B8" s="480"/>
      <c r="C8" s="480"/>
      <c r="D8" s="480"/>
    </row>
    <row r="9" spans="1:13" x14ac:dyDescent="0.2">
      <c r="A9" s="480"/>
      <c r="B9" s="480"/>
      <c r="C9" s="480"/>
      <c r="D9" s="480"/>
      <c r="G9" s="5" t="s">
        <v>162</v>
      </c>
      <c r="H9" s="5"/>
    </row>
    <row r="10" spans="1:13" x14ac:dyDescent="0.2">
      <c r="A10" s="480"/>
      <c r="B10" s="480"/>
      <c r="C10" s="480"/>
      <c r="D10" s="480"/>
    </row>
    <row r="11" spans="1:13" x14ac:dyDescent="0.2">
      <c r="A11" s="480"/>
      <c r="B11" s="480"/>
      <c r="C11" s="480"/>
      <c r="D11" s="480"/>
      <c r="F11" s="143"/>
      <c r="G11" s="35" t="s">
        <v>165</v>
      </c>
      <c r="H11" s="91"/>
      <c r="I11" s="26"/>
      <c r="J11" s="156"/>
    </row>
    <row r="12" spans="1:13" x14ac:dyDescent="0.2">
      <c r="A12" s="480"/>
      <c r="B12" s="480"/>
      <c r="C12" s="480"/>
      <c r="D12" s="480"/>
      <c r="F12" s="143"/>
      <c r="G12" s="490"/>
      <c r="H12" s="480"/>
      <c r="I12" s="480"/>
      <c r="J12" s="491"/>
    </row>
    <row r="13" spans="1:13" x14ac:dyDescent="0.2">
      <c r="A13" s="480"/>
      <c r="B13" s="480"/>
      <c r="C13" s="480"/>
      <c r="D13" s="480"/>
      <c r="F13" s="143"/>
      <c r="G13" s="490"/>
      <c r="H13" s="480"/>
      <c r="I13" s="480"/>
      <c r="J13" s="491"/>
    </row>
    <row r="14" spans="1:13" ht="12.75" customHeight="1" x14ac:dyDescent="0.2">
      <c r="A14" s="24"/>
      <c r="F14" s="143"/>
      <c r="G14" s="490"/>
      <c r="H14" s="480"/>
      <c r="I14" s="480"/>
      <c r="J14" s="491"/>
    </row>
    <row r="15" spans="1:13" x14ac:dyDescent="0.2">
      <c r="A15" s="24"/>
      <c r="F15" s="143"/>
      <c r="G15" s="496"/>
      <c r="H15" s="497"/>
      <c r="I15" s="497"/>
      <c r="J15" s="498"/>
    </row>
    <row r="16" spans="1:13" x14ac:dyDescent="0.2">
      <c r="A16" s="24"/>
    </row>
    <row r="17" spans="1:14" x14ac:dyDescent="0.2">
      <c r="A17" s="24"/>
      <c r="G17" s="536">
        <f>'PA 1'!A21</f>
        <v>45657</v>
      </c>
      <c r="H17" s="536"/>
      <c r="I17" s="111"/>
    </row>
    <row r="18" spans="1:14" x14ac:dyDescent="0.2">
      <c r="A18" s="3"/>
      <c r="B18" s="3"/>
      <c r="C18" s="3"/>
      <c r="D18" s="3"/>
      <c r="E18" s="3"/>
      <c r="F18" s="50"/>
      <c r="G18" s="50"/>
      <c r="I18" s="111"/>
      <c r="J18" s="111"/>
    </row>
    <row r="19" spans="1:14" s="157" customFormat="1" ht="33" customHeight="1" x14ac:dyDescent="0.2">
      <c r="A19" s="112"/>
      <c r="B19" s="113"/>
      <c r="C19" s="128"/>
      <c r="D19" s="129"/>
      <c r="E19" s="518" t="s">
        <v>176</v>
      </c>
      <c r="F19" s="519"/>
      <c r="G19" s="525" t="s">
        <v>197</v>
      </c>
      <c r="H19" s="525" t="s">
        <v>198</v>
      </c>
      <c r="I19" s="530" t="s">
        <v>199</v>
      </c>
      <c r="J19" s="533" t="s">
        <v>200</v>
      </c>
      <c r="M19" s="1"/>
    </row>
    <row r="20" spans="1:14" s="157" customFormat="1" ht="12.75" customHeight="1" x14ac:dyDescent="0.2">
      <c r="A20" s="114" t="s">
        <v>201</v>
      </c>
      <c r="B20" s="115"/>
      <c r="C20" s="126" t="s">
        <v>179</v>
      </c>
      <c r="D20" s="364"/>
      <c r="E20" s="116" t="s">
        <v>180</v>
      </c>
      <c r="F20" s="116" t="s">
        <v>181</v>
      </c>
      <c r="G20" s="526"/>
      <c r="H20" s="528"/>
      <c r="I20" s="531"/>
      <c r="J20" s="534"/>
      <c r="M20" s="1"/>
    </row>
    <row r="21" spans="1:14" s="157" customFormat="1" x14ac:dyDescent="0.2">
      <c r="A21" s="117"/>
      <c r="B21" s="133"/>
      <c r="C21" s="118" t="s">
        <v>183</v>
      </c>
      <c r="D21" s="130"/>
      <c r="E21" s="118" t="s">
        <v>184</v>
      </c>
      <c r="F21" s="118" t="s">
        <v>184</v>
      </c>
      <c r="G21" s="527"/>
      <c r="H21" s="529"/>
      <c r="I21" s="532"/>
      <c r="J21" s="535"/>
      <c r="M21" s="1"/>
    </row>
    <row r="22" spans="1:14" ht="15" customHeight="1" x14ac:dyDescent="0.2">
      <c r="A22" s="38"/>
      <c r="B22" s="7"/>
      <c r="C22" s="14">
        <f>'PA 1'!$F$7</f>
        <v>0</v>
      </c>
      <c r="D22" s="11" t="str">
        <f>IF('PA 1'!$C$10="à choisir","",IF('PA 1'!$C$10="féminin","f","m"))</f>
        <v/>
      </c>
      <c r="E22" s="134"/>
      <c r="F22" s="135"/>
      <c r="G22" s="14"/>
      <c r="H22" s="119"/>
      <c r="I22" s="123"/>
      <c r="J22" s="93"/>
      <c r="L22" s="1" t="s">
        <v>185</v>
      </c>
      <c r="N22" s="239"/>
    </row>
    <row r="23" spans="1:14" ht="15" customHeight="1" x14ac:dyDescent="0.2">
      <c r="A23" s="37" t="str">
        <f>CONCATENATE('PA 1'!$C$6,$L$22,'PA 1'!$C$7)</f>
        <v xml:space="preserve">, </v>
      </c>
      <c r="B23" s="10"/>
      <c r="C23" s="389">
        <f>'PA 1'!$F$6</f>
        <v>0</v>
      </c>
      <c r="D23" s="136"/>
      <c r="E23" s="158">
        <f>IF('PA 1'!$Q$37=0,0,IF('PA 1'!$C$14&lt;'PA 1'!$C$21,'PA 1'!$C$21,'PA 1'!$C$14))</f>
        <v>0</v>
      </c>
      <c r="F23" s="158">
        <f>IF('PA 1'!$Q$37=0,0,IF('PA 1'!$C$15&gt;0,'PA 1'!$C$15,$G$17))</f>
        <v>0</v>
      </c>
      <c r="G23" s="159">
        <f>IF(DATEDIF(C22,'PA 1'!$C$21,"Y")&lt;17,0,'PA 1'!$Q$39)</f>
        <v>0</v>
      </c>
      <c r="H23" s="120">
        <f>IF(DATEDIF(C22,'PA 1'!$C$21,"Y")&lt;17,0,IF(DATEDIF(C22,$G$17,"Y")&gt;(IF(D22="w",64,65)),0,'PA 1'!$AK$43))</f>
        <v>0</v>
      </c>
      <c r="I23" s="124">
        <f>G23</f>
        <v>0</v>
      </c>
      <c r="J23" s="94">
        <f>'PA 1'!$Q$36</f>
        <v>0</v>
      </c>
    </row>
    <row r="24" spans="1:14" ht="15" customHeight="1" x14ac:dyDescent="0.2">
      <c r="A24" s="38"/>
      <c r="B24" s="7"/>
      <c r="C24" s="14">
        <f>'PA 2'!$F$7</f>
        <v>0</v>
      </c>
      <c r="D24" s="11" t="str">
        <f>IF('PA 2'!$C$10="à choisir","",IF('PA 2'!$C$10="féminin","f","m"))</f>
        <v/>
      </c>
      <c r="E24" s="134"/>
      <c r="F24" s="135"/>
      <c r="G24" s="14"/>
      <c r="H24" s="119"/>
      <c r="I24" s="123"/>
      <c r="J24" s="93"/>
    </row>
    <row r="25" spans="1:14" ht="15" customHeight="1" x14ac:dyDescent="0.2">
      <c r="A25" s="37" t="str">
        <f>CONCATENATE('PA 2'!$C$6,$L$22,'PA 2'!$C$7)</f>
        <v xml:space="preserve">, </v>
      </c>
      <c r="B25" s="10"/>
      <c r="C25" s="389">
        <f>'PA 2'!$F$6</f>
        <v>0</v>
      </c>
      <c r="D25" s="136"/>
      <c r="E25" s="158">
        <f>IF('PA 2'!$Q$37=0,0,IF('PA 2'!$C$14&lt;'PA 2'!$C$21,'PA 2'!$C$21,'PA 2'!$C$14))</f>
        <v>0</v>
      </c>
      <c r="F25" s="158">
        <f>IF('PA 2'!$Q$37=0,0,IF('PA 2'!$C$15&gt;0,'PA 2'!$C$15,$G$17))</f>
        <v>0</v>
      </c>
      <c r="G25" s="159">
        <f>IF(DATEDIF(C24,'PA 2'!$C$21,"Y")&lt;17,0,'PA 2'!$Q$39)</f>
        <v>0</v>
      </c>
      <c r="H25" s="120">
        <f>IF(DATEDIF(C24,'PA 2'!$C$21,"Y")&lt;17,0,IF(DATEDIF(C24,$G$17,"Y")&gt;(IF(D24="w",64,65)),0,'PA 2'!$AK$43))</f>
        <v>0</v>
      </c>
      <c r="I25" s="124">
        <f>G25</f>
        <v>0</v>
      </c>
      <c r="J25" s="94">
        <f>'PA 2'!$Q$36</f>
        <v>0</v>
      </c>
    </row>
    <row r="26" spans="1:14" ht="15" customHeight="1" x14ac:dyDescent="0.2">
      <c r="A26" s="38"/>
      <c r="B26" s="7"/>
      <c r="C26" s="14">
        <f>'PA 3'!$F$7</f>
        <v>0</v>
      </c>
      <c r="D26" s="11" t="str">
        <f>IF('PA 3'!$C$10="à choisir","",IF('PA 3'!$C$10="féminin","f","m"))</f>
        <v/>
      </c>
      <c r="E26" s="134"/>
      <c r="F26" s="135"/>
      <c r="G26" s="14"/>
      <c r="H26" s="119"/>
      <c r="I26" s="123"/>
      <c r="J26" s="93"/>
    </row>
    <row r="27" spans="1:14" ht="15" customHeight="1" x14ac:dyDescent="0.2">
      <c r="A27" s="37" t="str">
        <f>CONCATENATE('PA 3'!$C$6,$L$22,'PA 3'!$C$7)</f>
        <v xml:space="preserve">, </v>
      </c>
      <c r="B27" s="10"/>
      <c r="C27" s="389">
        <f>'PA 3'!$F$6</f>
        <v>0</v>
      </c>
      <c r="D27" s="136"/>
      <c r="E27" s="158">
        <f>IF('PA 3'!$Q$37=0,0,IF('PA 3'!$C$14&lt;'PA 3'!$C$21,'PA 3'!$C$21,'PA 3'!$C$14))</f>
        <v>0</v>
      </c>
      <c r="F27" s="158">
        <f>IF('PA 3'!$Q$37=0,0,IF('PA 3'!$C$15&gt;0,'PA 3'!$C$15,$G$17))</f>
        <v>0</v>
      </c>
      <c r="G27" s="159">
        <f>IF(DATEDIF(C26,'PA 3'!$C$21,"Y")&lt;17,0,'PA 3'!$Q$39)</f>
        <v>0</v>
      </c>
      <c r="H27" s="120">
        <f>IF(DATEDIF(C26,'PA 3'!$C$21,"Y")&lt;17,0,IF(DATEDIF(C26,$G$17,"Y")&gt;(IF(D26="w",64,65)),0,'PA 3'!$AK$43))</f>
        <v>0</v>
      </c>
      <c r="I27" s="124">
        <f>G27</f>
        <v>0</v>
      </c>
      <c r="J27" s="94">
        <f>'PA 3'!$Q$36</f>
        <v>0</v>
      </c>
    </row>
    <row r="28" spans="1:14" ht="15" customHeight="1" x14ac:dyDescent="0.2">
      <c r="A28" s="38"/>
      <c r="B28" s="7"/>
      <c r="C28" s="14">
        <f>'PA 4'!$F$7</f>
        <v>0</v>
      </c>
      <c r="D28" s="11" t="str">
        <f>IF('PA 4'!$C$10="à choisir","",IF('PA 4'!$C$10="féminin","f","m"))</f>
        <v/>
      </c>
      <c r="E28" s="134"/>
      <c r="F28" s="135"/>
      <c r="G28" s="14"/>
      <c r="H28" s="119"/>
      <c r="I28" s="123"/>
      <c r="J28" s="93"/>
    </row>
    <row r="29" spans="1:14" ht="15" customHeight="1" x14ac:dyDescent="0.2">
      <c r="A29" s="37" t="str">
        <f>CONCATENATE('PA 4'!$C$6,$L$22,'PA 4'!$C$7)</f>
        <v xml:space="preserve">, </v>
      </c>
      <c r="B29" s="10"/>
      <c r="C29" s="389">
        <f>'PA 4'!$F$6</f>
        <v>0</v>
      </c>
      <c r="D29" s="136"/>
      <c r="E29" s="158">
        <f>IF('PA 4'!$Q$37=0,0,IF('PA 4'!$C$14&lt;'PA 4'!$C$21,'PA 4'!$C$21,'PA 4'!$C$14))</f>
        <v>0</v>
      </c>
      <c r="F29" s="158">
        <f>IF('PA 4'!$Q$37=0,0,IF('PA 4'!$C$15&gt;0,'PA 4'!$C$15,$G$17))</f>
        <v>0</v>
      </c>
      <c r="G29" s="159">
        <f>IF(DATEDIF(C28,'PA 4'!$C$21,"Y")&lt;17,0,'PA 4'!$Q$39)</f>
        <v>0</v>
      </c>
      <c r="H29" s="120">
        <f>IF(DATEDIF(C28,'PA 4'!$C$21,"Y")&lt;17,0,IF(DATEDIF(C28,$G$17,"Y")&gt;(IF(D28="w",64,65)),0,'PA 4'!$AK$43))</f>
        <v>0</v>
      </c>
      <c r="I29" s="124">
        <f>G29</f>
        <v>0</v>
      </c>
      <c r="J29" s="94">
        <f>'PA 4'!$Q$36</f>
        <v>0</v>
      </c>
    </row>
    <row r="30" spans="1:14" ht="15" customHeight="1" x14ac:dyDescent="0.2">
      <c r="A30" s="38"/>
      <c r="B30" s="7"/>
      <c r="C30" s="14">
        <f>'PA 5'!$F$7</f>
        <v>0</v>
      </c>
      <c r="D30" s="11" t="str">
        <f>IF('PA 5'!$C$10="à choisir","",IF('PA 5'!$C$10="féminin","f","m"))</f>
        <v/>
      </c>
      <c r="E30" s="134"/>
      <c r="F30" s="135"/>
      <c r="G30" s="14"/>
      <c r="H30" s="119"/>
      <c r="I30" s="123"/>
      <c r="J30" s="93"/>
    </row>
    <row r="31" spans="1:14" ht="15" customHeight="1" x14ac:dyDescent="0.2">
      <c r="A31" s="37" t="str">
        <f>CONCATENATE('PA 5'!$C$6,$L$22,'PA 5'!$C$7)</f>
        <v xml:space="preserve">, </v>
      </c>
      <c r="B31" s="10"/>
      <c r="C31" s="389">
        <f>'PA 5'!$F$6</f>
        <v>0</v>
      </c>
      <c r="D31" s="136"/>
      <c r="E31" s="158">
        <f>IF('PA 5'!$Q$37=0,0,IF('PA 5'!$C$14&lt;'PA 5'!$C$21,'PA 5'!$C$21,'PA 5'!$C$14))</f>
        <v>0</v>
      </c>
      <c r="F31" s="158">
        <f>IF('PA 5'!$Q$37=0,0,IF('PA 5'!$C$15&gt;0,'PA 5'!$C$15,$G$17))</f>
        <v>0</v>
      </c>
      <c r="G31" s="159">
        <f>IF(DATEDIF(C30,'PA 5'!$C$21,"Y")&lt;17,0,'PA 5'!$Q$39)</f>
        <v>0</v>
      </c>
      <c r="H31" s="120">
        <f>IF(DATEDIF(C30,'PA 5'!$C$21,"Y")&lt;17,0,IF(DATEDIF(C30,$G$17,"Y")&gt;(IF(D30="w",64,65)),0,'PA 5'!$AK$43))</f>
        <v>0</v>
      </c>
      <c r="I31" s="124">
        <f>G31</f>
        <v>0</v>
      </c>
      <c r="J31" s="94">
        <f>'PA 5'!$Q$36</f>
        <v>0</v>
      </c>
    </row>
    <row r="32" spans="1:14" ht="15" customHeight="1" x14ac:dyDescent="0.2">
      <c r="A32" s="38"/>
      <c r="B32" s="7"/>
      <c r="C32" s="14">
        <f>'PA 6'!$F$7</f>
        <v>0</v>
      </c>
      <c r="D32" s="11" t="str">
        <f>IF('PA 6'!$C$10="à choisir","",IF('PA 6'!$C$10="féminin","f","m"))</f>
        <v/>
      </c>
      <c r="E32" s="134"/>
      <c r="F32" s="135"/>
      <c r="G32" s="14"/>
      <c r="H32" s="119"/>
      <c r="I32" s="123"/>
      <c r="J32" s="93"/>
    </row>
    <row r="33" spans="1:10" ht="15" customHeight="1" x14ac:dyDescent="0.2">
      <c r="A33" s="37" t="str">
        <f>CONCATENATE('PA 6'!$C$6,$L$22,'PA 6'!$C$7)</f>
        <v xml:space="preserve">, </v>
      </c>
      <c r="B33" s="10"/>
      <c r="C33" s="389">
        <f>'PA 6'!$F$6</f>
        <v>0</v>
      </c>
      <c r="D33" s="136"/>
      <c r="E33" s="158">
        <f>IF('PA 6'!$Q$37=0,0,IF('PA 6'!$C$14&lt;'PA 6'!$C$21,'PA 6'!$C$21,'PA 6'!$C$14))</f>
        <v>0</v>
      </c>
      <c r="F33" s="158">
        <f>IF('PA 6'!$Q$37=0,0,IF('PA 6'!$C$15&gt;0,'PA 6'!$C$15,$G$17))</f>
        <v>0</v>
      </c>
      <c r="G33" s="159">
        <f>IF(DATEDIF(C32,'PA 6'!$C$21,"Y")&lt;17,0,'PA 6'!$Q$39)</f>
        <v>0</v>
      </c>
      <c r="H33" s="120">
        <f>IF(DATEDIF(C32,'PA 6'!$C$21,"Y")&lt;17,0,IF(DATEDIF(C32,$G$17,"Y")&gt;(IF(D32="w",64,65)),0,'PA 6'!$AK$43))</f>
        <v>0</v>
      </c>
      <c r="I33" s="124">
        <f>G33</f>
        <v>0</v>
      </c>
      <c r="J33" s="94">
        <f>'PA 6'!$Q$36</f>
        <v>0</v>
      </c>
    </row>
    <row r="34" spans="1:10" ht="15" customHeight="1" x14ac:dyDescent="0.2">
      <c r="A34" s="38"/>
      <c r="B34" s="7"/>
      <c r="C34" s="14">
        <f>'PA 7'!$F$7</f>
        <v>0</v>
      </c>
      <c r="D34" s="11" t="str">
        <f>IF('PA 7'!$C$10="à choisir","",IF('PA 7'!$C$10="féminin","f","m"))</f>
        <v/>
      </c>
      <c r="E34" s="134"/>
      <c r="F34" s="135"/>
      <c r="G34" s="14"/>
      <c r="H34" s="119"/>
      <c r="I34" s="123"/>
      <c r="J34" s="93"/>
    </row>
    <row r="35" spans="1:10" ht="15" customHeight="1" x14ac:dyDescent="0.2">
      <c r="A35" s="37" t="str">
        <f>CONCATENATE('PA 7'!$C$6,$L$22,'PA 7'!$C$7)</f>
        <v xml:space="preserve">, </v>
      </c>
      <c r="B35" s="10"/>
      <c r="C35" s="389">
        <f>'PA 7'!$F$6</f>
        <v>0</v>
      </c>
      <c r="D35" s="136"/>
      <c r="E35" s="158">
        <f>IF('PA 7'!$Q$37=0,0,IF('PA 7'!$C$14&lt;'PA 7'!$C$21,'PA 7'!$C$21,'PA 7'!$C$14))</f>
        <v>0</v>
      </c>
      <c r="F35" s="158">
        <f>IF('PA 7'!$Q$37=0,0,IF('PA 7'!$C$15&gt;0,'PA 7'!$C$15,$G$17))</f>
        <v>0</v>
      </c>
      <c r="G35" s="159">
        <f>IF(DATEDIF(C34,'PA 7'!$C$21,"Y")&lt;17,0,'PA 7'!$Q$39)</f>
        <v>0</v>
      </c>
      <c r="H35" s="120">
        <f>IF(DATEDIF(C34,'PA 7'!$C$21,"Y")&lt;17,0,IF(DATEDIF(C34,$G$17,"Y")&gt;(IF(D34="w",64,65)),0,'PA 7'!$AK$43))</f>
        <v>0</v>
      </c>
      <c r="I35" s="124">
        <f>G35</f>
        <v>0</v>
      </c>
      <c r="J35" s="94">
        <f>'PA 7'!$Q$36</f>
        <v>0</v>
      </c>
    </row>
    <row r="36" spans="1:10" ht="15" customHeight="1" x14ac:dyDescent="0.2">
      <c r="A36" s="38"/>
      <c r="B36" s="7"/>
      <c r="C36" s="14">
        <f>'PA 8'!$F$7</f>
        <v>0</v>
      </c>
      <c r="D36" s="11" t="str">
        <f>IF('PA 8'!$C$10="à choisir","",IF('PA 8'!$C$10="féminin","f","m"))</f>
        <v/>
      </c>
      <c r="E36" s="134"/>
      <c r="F36" s="135"/>
      <c r="G36" s="14"/>
      <c r="H36" s="119"/>
      <c r="I36" s="123"/>
      <c r="J36" s="93"/>
    </row>
    <row r="37" spans="1:10" ht="15" customHeight="1" x14ac:dyDescent="0.2">
      <c r="A37" s="37" t="str">
        <f>CONCATENATE('PA 8'!$C$6,$L$22,'PA 8'!$C$7)</f>
        <v xml:space="preserve">, </v>
      </c>
      <c r="B37" s="10"/>
      <c r="C37" s="389">
        <f>'PA 8'!$F$6</f>
        <v>0</v>
      </c>
      <c r="D37" s="136"/>
      <c r="E37" s="158">
        <f>IF('PA 8'!$Q$37=0,0,IF('PA 8'!$C$14&lt;'PA 8'!$C$21,'PA 8'!$C$21,'PA 8'!$C$14))</f>
        <v>0</v>
      </c>
      <c r="F37" s="158">
        <f>IF('PA 8'!$Q$37=0,0,IF('PA 8'!$C$15&gt;0,'PA 8'!$C$15,$G$17))</f>
        <v>0</v>
      </c>
      <c r="G37" s="159">
        <f>IF(DATEDIF(C36,'PA 8'!$C$21,"Y")&lt;17,0,'PA 8'!$Q$39)</f>
        <v>0</v>
      </c>
      <c r="H37" s="120">
        <f>IF(DATEDIF(C36,'PA 8'!$C$21,"Y")&lt;17,0,IF(DATEDIF(C36,$G$17,"Y")&gt;(IF(D36="w",64,65)),0,'PA 8'!$AK$43))</f>
        <v>0</v>
      </c>
      <c r="I37" s="124">
        <f>G37</f>
        <v>0</v>
      </c>
      <c r="J37" s="94">
        <f>'PA 8'!$Q$36</f>
        <v>0</v>
      </c>
    </row>
    <row r="38" spans="1:10" ht="15" customHeight="1" x14ac:dyDescent="0.2">
      <c r="A38" s="38"/>
      <c r="B38" s="7"/>
      <c r="C38" s="14">
        <f>'PA 9'!$F$7</f>
        <v>0</v>
      </c>
      <c r="D38" s="11" t="str">
        <f>IF('PA 9'!$C$10="à choisir","",IF('PA 9'!$C$10="féminin","f","m"))</f>
        <v/>
      </c>
      <c r="E38" s="127"/>
      <c r="F38" s="14"/>
      <c r="G38" s="14"/>
      <c r="H38" s="119"/>
      <c r="I38" s="123"/>
      <c r="J38" s="93"/>
    </row>
    <row r="39" spans="1:10" ht="15" customHeight="1" x14ac:dyDescent="0.2">
      <c r="A39" s="39" t="str">
        <f>CONCATENATE('PA 9'!$C$6,$L$22,'PA 9'!$C$7)</f>
        <v xml:space="preserve">, </v>
      </c>
      <c r="B39" s="149"/>
      <c r="C39" s="131">
        <f>'PA 9'!$F$6</f>
        <v>0</v>
      </c>
      <c r="D39" s="132"/>
      <c r="E39" s="95">
        <f>IF('PA 9'!$Q$37=0,0,IF('PA 9'!$C$14&lt;'PA 9'!$C$21,'PA 9'!$C$21,'PA 9'!$C$14))</f>
        <v>0</v>
      </c>
      <c r="F39" s="95">
        <f>IF('PA 9'!$Q$37=0,0,IF('PA 9'!$C$15&gt;0,'PA 9'!$C$15,$G$17))</f>
        <v>0</v>
      </c>
      <c r="G39" s="121">
        <f>IF(DATEDIF(C38,'PA 9'!$C$21,"Y")&lt;17,0,'PA 9'!$Q$39)</f>
        <v>0</v>
      </c>
      <c r="H39" s="121">
        <f>IF(DATEDIF(C38,'PA 9'!$C$21,"Y")&lt;17,0,IF(DATEDIF(C38,$G$17,"Y")&gt;(IF(D38="w",64,65)),0,'PA 9'!$AK$43))</f>
        <v>0</v>
      </c>
      <c r="I39" s="125">
        <f>G39</f>
        <v>0</v>
      </c>
      <c r="J39" s="122">
        <f>'PA 9'!$Q$36</f>
        <v>0</v>
      </c>
    </row>
    <row r="40" spans="1:10" ht="15" customHeight="1" x14ac:dyDescent="0.2">
      <c r="A40" s="4"/>
      <c r="B40" s="4"/>
      <c r="C40" s="12"/>
      <c r="D40" s="12"/>
      <c r="E40" s="147"/>
      <c r="F40" s="147"/>
      <c r="G40" s="147"/>
      <c r="H40" s="57"/>
      <c r="I40" s="57"/>
      <c r="J40" s="150"/>
    </row>
    <row r="41" spans="1:10" ht="20.100000000000001" customHeight="1" thickBot="1" x14ac:dyDescent="0.25">
      <c r="A41" s="428"/>
      <c r="B41" s="429"/>
      <c r="C41" s="365"/>
      <c r="D41" s="365"/>
      <c r="E41" s="365"/>
      <c r="F41" s="148" t="s">
        <v>126</v>
      </c>
      <c r="G41" s="96">
        <f>SUM(G22:G39)</f>
        <v>0</v>
      </c>
      <c r="H41" s="96">
        <f>SUM(H22:H39)</f>
        <v>0</v>
      </c>
      <c r="I41" s="96">
        <f>SUM(I22:I39)</f>
        <v>0</v>
      </c>
      <c r="J41" s="138">
        <f>SUM(J22:J39)</f>
        <v>0</v>
      </c>
    </row>
    <row r="42" spans="1:10" ht="15" customHeight="1" thickTop="1" x14ac:dyDescent="0.2">
      <c r="B42" s="539"/>
      <c r="C42" s="539"/>
      <c r="D42" s="539"/>
    </row>
    <row r="43" spans="1:10" ht="15" customHeight="1" x14ac:dyDescent="0.2"/>
    <row r="44" spans="1:10" ht="15" customHeight="1" x14ac:dyDescent="0.2">
      <c r="A44" s="1" t="s">
        <v>202</v>
      </c>
      <c r="E44" s="540"/>
      <c r="F44" s="540"/>
      <c r="G44" s="540"/>
      <c r="H44" s="540"/>
      <c r="I44" s="540"/>
      <c r="J44" s="540"/>
    </row>
    <row r="45" spans="1:10" ht="15" customHeight="1" x14ac:dyDescent="0.2">
      <c r="A45" s="1" t="s">
        <v>203</v>
      </c>
      <c r="E45" s="541"/>
      <c r="F45" s="541"/>
      <c r="G45" s="541"/>
      <c r="H45" s="541"/>
      <c r="I45" s="541"/>
      <c r="J45" s="541"/>
    </row>
    <row r="46" spans="1:10" ht="15" customHeight="1" x14ac:dyDescent="0.2"/>
    <row r="47" spans="1:10" ht="15" customHeight="1" x14ac:dyDescent="0.2">
      <c r="A47" s="141" t="s">
        <v>204</v>
      </c>
      <c r="B47" s="26"/>
      <c r="C47" s="26"/>
      <c r="D47" s="537"/>
      <c r="E47" s="538"/>
      <c r="F47" s="481" t="s">
        <v>205</v>
      </c>
      <c r="G47" s="481"/>
      <c r="H47" s="481"/>
      <c r="I47" s="481"/>
      <c r="J47" s="481"/>
    </row>
    <row r="48" spans="1:10" ht="15" customHeight="1" x14ac:dyDescent="0.2">
      <c r="A48" s="142" t="s">
        <v>206</v>
      </c>
      <c r="D48" s="537"/>
      <c r="E48" s="538"/>
      <c r="F48" s="481"/>
      <c r="G48" s="481"/>
      <c r="H48" s="481"/>
      <c r="I48" s="481"/>
      <c r="J48" s="481"/>
    </row>
    <row r="49" spans="1:10" ht="5.0999999999999996" customHeight="1" x14ac:dyDescent="0.2">
      <c r="A49" s="144"/>
      <c r="B49" s="3"/>
      <c r="C49" s="3"/>
      <c r="D49" s="366"/>
      <c r="E49" s="367"/>
      <c r="F49" s="481"/>
      <c r="G49" s="481"/>
      <c r="H49" s="481"/>
      <c r="I49" s="481"/>
      <c r="J49" s="481"/>
    </row>
    <row r="50" spans="1:10" ht="15" customHeight="1" x14ac:dyDescent="0.2">
      <c r="A50" s="140" t="s">
        <v>207</v>
      </c>
      <c r="B50" s="2"/>
      <c r="E50" s="143"/>
      <c r="F50" s="481"/>
      <c r="G50" s="481"/>
      <c r="H50" s="481"/>
      <c r="I50" s="481"/>
      <c r="J50" s="481"/>
    </row>
    <row r="51" spans="1:10" ht="15" customHeight="1" x14ac:dyDescent="0.2">
      <c r="A51" s="485"/>
      <c r="B51" s="486"/>
      <c r="C51" s="486"/>
      <c r="D51" s="486"/>
      <c r="E51" s="487"/>
      <c r="F51" s="481"/>
      <c r="G51" s="481"/>
      <c r="H51" s="481"/>
      <c r="I51" s="481"/>
      <c r="J51" s="481"/>
    </row>
    <row r="52" spans="1:10" ht="15" customHeight="1" x14ac:dyDescent="0.2">
      <c r="A52" s="485"/>
      <c r="B52" s="486"/>
      <c r="C52" s="486"/>
      <c r="D52" s="486"/>
      <c r="E52" s="487"/>
      <c r="F52" s="481"/>
      <c r="G52" s="481"/>
      <c r="H52" s="481"/>
      <c r="I52" s="481"/>
      <c r="J52" s="481"/>
    </row>
    <row r="53" spans="1:10" ht="15" customHeight="1" x14ac:dyDescent="0.2">
      <c r="A53" s="477"/>
      <c r="B53" s="478"/>
      <c r="C53" s="478"/>
      <c r="D53" s="478"/>
      <c r="E53" s="479"/>
      <c r="F53" s="481"/>
      <c r="G53" s="481"/>
      <c r="H53" s="481"/>
      <c r="I53" s="481"/>
      <c r="J53" s="481"/>
    </row>
    <row r="54" spans="1:10" ht="15" customHeight="1" x14ac:dyDescent="0.2">
      <c r="A54" s="139"/>
      <c r="B54" s="2"/>
      <c r="F54" s="3"/>
      <c r="G54" s="3"/>
      <c r="I54" s="3"/>
      <c r="J54" s="368"/>
    </row>
    <row r="55" spans="1:10" x14ac:dyDescent="0.2">
      <c r="A55" s="139"/>
      <c r="B55" s="2"/>
      <c r="F55" s="4" t="s">
        <v>192</v>
      </c>
      <c r="G55" s="2"/>
      <c r="H55" s="2"/>
      <c r="I55" s="4" t="s">
        <v>193</v>
      </c>
      <c r="J55" s="388"/>
    </row>
    <row r="56" spans="1:10" x14ac:dyDescent="0.2">
      <c r="A56" s="139"/>
      <c r="B56" s="2"/>
      <c r="I56" s="388"/>
      <c r="J56" s="388"/>
    </row>
    <row r="57" spans="1:10" ht="15" customHeight="1" x14ac:dyDescent="0.2">
      <c r="I57" s="388"/>
      <c r="J57" s="388"/>
    </row>
    <row r="58" spans="1:10" ht="15" customHeight="1" x14ac:dyDescent="0.2">
      <c r="F58" s="33"/>
      <c r="G58" s="33"/>
      <c r="H58" s="33"/>
      <c r="I58" s="33"/>
      <c r="J58" s="33"/>
    </row>
  </sheetData>
  <sheetProtection algorithmName="SHA-512" hashValue="x0ETcIGJLPSqmgxvzUrmSMCiN0nhSgGtbZVxybi3j5LqWOs9TIH8SMvkseONTUCzVWqX7ttLk6U3r42NYlORLg==" saltValue="3yGGiYT5/v2T5MU4Qswj8g==" spinCount="100000" sheet="1" objects="1" scenarios="1"/>
  <mergeCells count="29">
    <mergeCell ref="D47:E47"/>
    <mergeCell ref="D48:E48"/>
    <mergeCell ref="F47:J53"/>
    <mergeCell ref="B42:D42"/>
    <mergeCell ref="E44:J44"/>
    <mergeCell ref="A51:E53"/>
    <mergeCell ref="E45:J45"/>
    <mergeCell ref="M4:M5"/>
    <mergeCell ref="E19:F19"/>
    <mergeCell ref="A1:C3"/>
    <mergeCell ref="G1:J3"/>
    <mergeCell ref="I5:J5"/>
    <mergeCell ref="I6:J6"/>
    <mergeCell ref="G19:G21"/>
    <mergeCell ref="H19:H21"/>
    <mergeCell ref="I19:I21"/>
    <mergeCell ref="J19:J21"/>
    <mergeCell ref="G17:H17"/>
    <mergeCell ref="A8:D8"/>
    <mergeCell ref="A9:D9"/>
    <mergeCell ref="A10:D10"/>
    <mergeCell ref="A11:D11"/>
    <mergeCell ref="A12:D12"/>
    <mergeCell ref="A7:D7"/>
    <mergeCell ref="G12:J12"/>
    <mergeCell ref="G13:J13"/>
    <mergeCell ref="G14:J14"/>
    <mergeCell ref="G15:J15"/>
    <mergeCell ref="A13:D13"/>
  </mergeCells>
  <pageMargins left="0.23622047244094491" right="0.23622047244094491" top="0.39370078740157483" bottom="0.39370078740157483" header="0.31496062992125984" footer="0.31496062992125984"/>
  <pageSetup paperSize="9" scale="9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2" bestFit="1" customWidth="1"/>
    <col min="2" max="2" width="3.28515625" style="183" customWidth="1"/>
    <col min="3" max="3" width="12" style="183" customWidth="1"/>
    <col min="4" max="4" width="7.42578125" style="183" customWidth="1"/>
    <col min="5" max="5" width="1.85546875" style="183" customWidth="1"/>
    <col min="6" max="6" width="10.28515625" style="183" customWidth="1"/>
    <col min="7" max="7" width="1.7109375" style="183" customWidth="1"/>
    <col min="8" max="9" width="5.7109375" style="183" customWidth="1"/>
    <col min="10" max="11" width="6.28515625" style="183" customWidth="1"/>
    <col min="12" max="12" width="4" style="183" customWidth="1"/>
    <col min="13" max="13" width="2.140625" style="183" bestFit="1" customWidth="1"/>
    <col min="14" max="14" width="2.7109375" style="183" customWidth="1"/>
    <col min="15" max="15" width="14.7109375" style="183" customWidth="1"/>
    <col min="16" max="16" width="2.7109375" style="183" customWidth="1"/>
    <col min="17" max="17" width="1.7109375" style="183" customWidth="1"/>
    <col min="18" max="18" width="14.140625" style="183" customWidth="1"/>
    <col min="19" max="16384" width="11.42578125" style="183"/>
  </cols>
  <sheetData>
    <row r="1" spans="1:18" ht="18.75" x14ac:dyDescent="0.4">
      <c r="A1" s="188" t="s">
        <v>208</v>
      </c>
      <c r="B1" s="420" t="s">
        <v>209</v>
      </c>
      <c r="C1" s="207" t="s">
        <v>210</v>
      </c>
    </row>
    <row r="2" spans="1:18" ht="3" customHeight="1" x14ac:dyDescent="0.4">
      <c r="A2" s="188"/>
      <c r="C2" s="207"/>
    </row>
    <row r="3" spans="1:18" ht="18.75" x14ac:dyDescent="0.4">
      <c r="A3" s="188" t="s">
        <v>211</v>
      </c>
      <c r="B3" s="421"/>
      <c r="C3" s="207" t="s">
        <v>212</v>
      </c>
    </row>
    <row r="4" spans="1:18" ht="9" customHeight="1" x14ac:dyDescent="0.25">
      <c r="A4" s="188"/>
      <c r="C4" s="192"/>
    </row>
    <row r="5" spans="1:18" ht="13.5" customHeight="1" x14ac:dyDescent="0.25">
      <c r="A5" s="188" t="s">
        <v>213</v>
      </c>
      <c r="B5" s="546" t="str">
        <f>IF('PA 1'!$F$6="","",'PA 1'!$F$6)</f>
        <v/>
      </c>
      <c r="C5" s="546"/>
      <c r="D5" s="546"/>
      <c r="E5" s="546"/>
      <c r="F5" s="546"/>
      <c r="H5" s="547" cm="1">
        <f t="array" ref="H5">'PA 1'!F7:F7</f>
        <v>0</v>
      </c>
      <c r="I5" s="547"/>
      <c r="J5" s="547"/>
      <c r="K5" s="547"/>
      <c r="M5" s="193" t="s">
        <v>214</v>
      </c>
      <c r="N5" s="421"/>
      <c r="O5" s="549" t="s">
        <v>215</v>
      </c>
      <c r="P5" s="549"/>
      <c r="Q5" s="549"/>
      <c r="R5" s="549"/>
    </row>
    <row r="6" spans="1:18" x14ac:dyDescent="0.25">
      <c r="A6" s="188"/>
      <c r="B6" s="187" t="s">
        <v>216</v>
      </c>
      <c r="C6" s="198"/>
      <c r="D6" s="187"/>
      <c r="E6" s="198"/>
      <c r="F6" s="187"/>
      <c r="G6" s="187"/>
      <c r="H6" s="187" t="s">
        <v>217</v>
      </c>
      <c r="M6" s="193"/>
      <c r="O6" s="549"/>
      <c r="P6" s="549"/>
      <c r="Q6" s="549"/>
      <c r="R6" s="549"/>
    </row>
    <row r="7" spans="1:18" ht="13.5" customHeight="1" x14ac:dyDescent="0.25">
      <c r="A7" s="188" t="s">
        <v>218</v>
      </c>
      <c r="B7" s="548">
        <f>'PA 1'!A21</f>
        <v>45657</v>
      </c>
      <c r="C7" s="548"/>
      <c r="E7" s="188" t="s">
        <v>219</v>
      </c>
      <c r="F7" s="422">
        <f>IF('PA 1'!$Q$37=0,0,IF('PA 1'!$C$14&lt;'PA 1'!$C$21,'PA 1'!$C$21,'PA 1'!$C$14))</f>
        <v>0</v>
      </c>
      <c r="G7" s="422"/>
      <c r="H7" s="1"/>
      <c r="I7" s="547">
        <f>IF('PA 1'!$Q$37=0,0,IF('PA 1'!$C$15&gt;0,'PA 1'!$C$15,B7))</f>
        <v>0</v>
      </c>
      <c r="J7" s="547"/>
      <c r="M7" s="193" t="s">
        <v>220</v>
      </c>
      <c r="N7" s="421"/>
      <c r="O7" s="549" t="s">
        <v>221</v>
      </c>
      <c r="P7" s="549"/>
      <c r="Q7" s="549"/>
      <c r="R7" s="549"/>
    </row>
    <row r="8" spans="1:18" x14ac:dyDescent="0.25">
      <c r="A8" s="188"/>
      <c r="B8" s="187" t="s">
        <v>222</v>
      </c>
      <c r="C8" s="187"/>
      <c r="D8" s="187"/>
      <c r="E8" s="187"/>
      <c r="F8" s="187" t="s">
        <v>223</v>
      </c>
      <c r="G8" s="187"/>
      <c r="H8" s="187"/>
      <c r="I8" s="187" t="s">
        <v>224</v>
      </c>
      <c r="M8" s="193"/>
      <c r="O8" s="549"/>
      <c r="P8" s="549"/>
      <c r="Q8" s="549"/>
      <c r="R8" s="549"/>
    </row>
    <row r="9" spans="1:18" x14ac:dyDescent="0.25">
      <c r="A9" s="188" t="s">
        <v>225</v>
      </c>
    </row>
    <row r="10" spans="1:18" x14ac:dyDescent="0.25">
      <c r="A10" s="188"/>
    </row>
    <row r="11" spans="1:18" x14ac:dyDescent="0.25">
      <c r="A11" s="188"/>
      <c r="L11" s="1" t="str">
        <f>CONCATENATE('PA 1'!C6:C6," ",'PA 1'!C7:C7)</f>
        <v xml:space="preserve"> </v>
      </c>
    </row>
    <row r="12" spans="1:18" x14ac:dyDescent="0.25">
      <c r="A12" s="188"/>
      <c r="L12" s="1">
        <f>'PA 1'!C8:C8</f>
        <v>0</v>
      </c>
    </row>
    <row r="13" spans="1:18" x14ac:dyDescent="0.25">
      <c r="A13" s="188"/>
      <c r="L13" s="1">
        <f>'PA 1'!C9:C9</f>
        <v>0</v>
      </c>
    </row>
    <row r="14" spans="1:18" x14ac:dyDescent="0.25">
      <c r="A14" s="188"/>
    </row>
    <row r="15" spans="1:18" x14ac:dyDescent="0.25">
      <c r="A15" s="188"/>
    </row>
    <row r="16" spans="1:18" x14ac:dyDescent="0.25">
      <c r="A16" s="188"/>
    </row>
    <row r="17" spans="1:18" x14ac:dyDescent="0.25">
      <c r="A17" s="188"/>
    </row>
    <row r="18" spans="1:18" ht="13.5" customHeight="1" x14ac:dyDescent="0.25">
      <c r="A18" s="188"/>
      <c r="R18" s="550" t="s">
        <v>226</v>
      </c>
    </row>
    <row r="19" spans="1:18" x14ac:dyDescent="0.25">
      <c r="A19" s="188">
        <v>1</v>
      </c>
      <c r="B19" s="182" t="s">
        <v>227</v>
      </c>
      <c r="C19" s="182"/>
      <c r="D19" s="182" t="s">
        <v>228</v>
      </c>
      <c r="E19" s="182"/>
      <c r="F19" s="182"/>
      <c r="G19" s="182"/>
      <c r="H19" s="182"/>
      <c r="I19" s="182"/>
      <c r="J19" s="186" t="s">
        <v>229</v>
      </c>
      <c r="K19" s="186"/>
      <c r="L19" s="182"/>
      <c r="M19" s="182"/>
      <c r="N19" s="182"/>
      <c r="Q19" s="206"/>
      <c r="R19" s="550"/>
    </row>
    <row r="20" spans="1:18" x14ac:dyDescent="0.25">
      <c r="A20" s="188"/>
      <c r="B20" s="182" t="s">
        <v>230</v>
      </c>
      <c r="C20" s="182"/>
      <c r="D20" s="182" t="s">
        <v>231</v>
      </c>
      <c r="E20" s="182"/>
      <c r="F20" s="182"/>
      <c r="G20" s="182"/>
      <c r="H20" s="182"/>
      <c r="I20" s="182"/>
      <c r="J20" s="186" t="s">
        <v>229</v>
      </c>
      <c r="K20" s="186"/>
      <c r="L20" s="182"/>
      <c r="M20" s="182"/>
      <c r="N20" s="182"/>
      <c r="Q20" s="206"/>
      <c r="R20" s="550"/>
    </row>
    <row r="21" spans="1:18" x14ac:dyDescent="0.25">
      <c r="A21" s="188"/>
      <c r="B21" s="194" t="s">
        <v>232</v>
      </c>
      <c r="C21" s="194"/>
      <c r="D21" s="194" t="s">
        <v>233</v>
      </c>
      <c r="E21" s="194"/>
      <c r="F21" s="194"/>
      <c r="G21" s="194"/>
      <c r="H21" s="194"/>
      <c r="I21" s="194"/>
      <c r="J21" s="195" t="s">
        <v>234</v>
      </c>
      <c r="K21" s="195"/>
      <c r="L21" s="194"/>
      <c r="M21" s="194"/>
      <c r="N21" s="194"/>
      <c r="O21" s="196"/>
      <c r="P21" s="196"/>
      <c r="R21" s="423">
        <f>'PA 1'!Q37-'PA 1'!Q31</f>
        <v>0</v>
      </c>
    </row>
    <row r="22" spans="1:18" ht="3" customHeight="1" x14ac:dyDescent="0.25">
      <c r="A22" s="188"/>
      <c r="B22" s="182"/>
      <c r="C22" s="182"/>
      <c r="D22" s="182"/>
      <c r="E22" s="182"/>
      <c r="F22" s="199"/>
      <c r="G22" s="199"/>
      <c r="H22" s="199"/>
      <c r="I22" s="199"/>
      <c r="J22" s="200"/>
      <c r="K22" s="200"/>
      <c r="L22" s="199"/>
      <c r="M22" s="199"/>
      <c r="N22" s="199"/>
      <c r="O22" s="201"/>
      <c r="P22" s="201"/>
      <c r="R22" s="208"/>
    </row>
    <row r="23" spans="1:18" x14ac:dyDescent="0.25">
      <c r="A23" s="188">
        <v>2</v>
      </c>
      <c r="B23" s="182" t="s">
        <v>235</v>
      </c>
      <c r="C23" s="182"/>
      <c r="D23" s="182"/>
      <c r="E23" s="182"/>
      <c r="F23" s="194" t="s">
        <v>236</v>
      </c>
      <c r="G23" s="194"/>
      <c r="H23" s="194"/>
      <c r="I23" s="196"/>
      <c r="J23" s="194"/>
      <c r="K23" s="194"/>
      <c r="L23" s="194"/>
      <c r="M23" s="194"/>
      <c r="N23" s="194"/>
      <c r="O23" s="196"/>
      <c r="P23" s="196"/>
      <c r="Q23" s="185" t="s">
        <v>237</v>
      </c>
      <c r="R23" s="424">
        <f>'PA 1'!Q31</f>
        <v>0</v>
      </c>
    </row>
    <row r="24" spans="1:18" ht="3" customHeight="1" x14ac:dyDescent="0.25">
      <c r="A24" s="188"/>
      <c r="B24" s="182"/>
      <c r="C24" s="182"/>
      <c r="D24" s="182"/>
      <c r="E24" s="182"/>
      <c r="F24" s="199"/>
      <c r="G24" s="199"/>
      <c r="H24" s="199"/>
      <c r="I24" s="201"/>
      <c r="J24" s="199"/>
      <c r="K24" s="199"/>
      <c r="L24" s="199"/>
      <c r="M24" s="199"/>
      <c r="N24" s="199"/>
      <c r="O24" s="201"/>
      <c r="P24" s="201"/>
      <c r="Q24" s="185"/>
      <c r="R24" s="208"/>
    </row>
    <row r="25" spans="1:18" x14ac:dyDescent="0.25">
      <c r="A25" s="188"/>
      <c r="B25" s="182" t="s">
        <v>238</v>
      </c>
      <c r="C25" s="182"/>
      <c r="D25" s="182"/>
      <c r="E25" s="182"/>
      <c r="F25" s="194" t="s">
        <v>239</v>
      </c>
      <c r="G25" s="194"/>
      <c r="H25" s="194"/>
      <c r="I25" s="194"/>
      <c r="J25" s="194"/>
      <c r="K25" s="194"/>
      <c r="L25" s="194"/>
      <c r="M25" s="194"/>
      <c r="N25" s="194"/>
      <c r="O25" s="196"/>
      <c r="P25" s="196"/>
      <c r="Q25" s="185" t="s">
        <v>237</v>
      </c>
      <c r="R25" s="424"/>
    </row>
    <row r="26" spans="1:18" ht="3" customHeight="1" x14ac:dyDescent="0.25">
      <c r="A26" s="1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Q26" s="185"/>
      <c r="R26" s="209"/>
    </row>
    <row r="27" spans="1:18" x14ac:dyDescent="0.25">
      <c r="A27" s="188"/>
      <c r="B27" s="182" t="s">
        <v>240</v>
      </c>
      <c r="C27" s="182"/>
      <c r="D27" s="182"/>
      <c r="E27" s="182"/>
      <c r="F27" s="182" t="s">
        <v>241</v>
      </c>
      <c r="G27" s="182"/>
      <c r="H27" s="182"/>
      <c r="I27" s="182"/>
      <c r="J27" s="542"/>
      <c r="K27" s="542"/>
      <c r="L27" s="542"/>
      <c r="M27" s="542"/>
      <c r="N27" s="542"/>
      <c r="O27" s="542"/>
      <c r="P27" s="542"/>
      <c r="Q27" s="185" t="s">
        <v>237</v>
      </c>
      <c r="R27" s="424"/>
    </row>
    <row r="28" spans="1:18" ht="9.75" customHeight="1" x14ac:dyDescent="0.25">
      <c r="A28" s="188"/>
      <c r="B28" s="182"/>
      <c r="C28" s="182"/>
      <c r="D28" s="182"/>
      <c r="E28" s="182"/>
      <c r="F28" s="184" t="s">
        <v>242</v>
      </c>
      <c r="G28" s="184"/>
      <c r="H28" s="184"/>
      <c r="I28" s="182"/>
      <c r="J28" s="182"/>
      <c r="K28" s="182"/>
      <c r="L28" s="182"/>
      <c r="M28" s="182"/>
      <c r="N28" s="182"/>
      <c r="R28" s="210"/>
    </row>
    <row r="29" spans="1:18" x14ac:dyDescent="0.25">
      <c r="A29" s="188">
        <v>3</v>
      </c>
      <c r="B29" s="182" t="s">
        <v>243</v>
      </c>
      <c r="C29" s="182"/>
      <c r="D29" s="182"/>
      <c r="E29" s="182"/>
      <c r="F29" s="182"/>
      <c r="G29" s="182"/>
      <c r="H29" s="182"/>
      <c r="I29" s="182"/>
      <c r="J29" s="182"/>
      <c r="K29" s="184" t="s">
        <v>242</v>
      </c>
      <c r="M29" s="182"/>
      <c r="N29" s="182"/>
      <c r="Q29" s="185" t="s">
        <v>237</v>
      </c>
      <c r="R29" s="210"/>
    </row>
    <row r="30" spans="1:18" x14ac:dyDescent="0.25">
      <c r="A30" s="188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R30" s="424"/>
    </row>
    <row r="31" spans="1:18" ht="3" customHeight="1" x14ac:dyDescent="0.25">
      <c r="A31" s="18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R31" s="208"/>
    </row>
    <row r="32" spans="1:18" x14ac:dyDescent="0.25">
      <c r="A32" s="188">
        <v>4</v>
      </c>
      <c r="B32" s="182" t="s">
        <v>244</v>
      </c>
      <c r="C32" s="182"/>
      <c r="D32" s="182"/>
      <c r="E32" s="182"/>
      <c r="F32" s="182"/>
      <c r="G32" s="182"/>
      <c r="H32" s="182"/>
      <c r="I32" s="542"/>
      <c r="J32" s="542"/>
      <c r="K32" s="542"/>
      <c r="L32" s="542"/>
      <c r="M32" s="542"/>
      <c r="N32" s="542"/>
      <c r="O32" s="542"/>
      <c r="P32" s="542"/>
      <c r="Q32" s="185" t="s">
        <v>237</v>
      </c>
      <c r="R32" s="424"/>
    </row>
    <row r="33" spans="1:18" ht="9" customHeight="1" x14ac:dyDescent="0.25">
      <c r="A33" s="188"/>
      <c r="B33" s="184" t="s">
        <v>242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R33" s="210"/>
    </row>
    <row r="34" spans="1:18" x14ac:dyDescent="0.25">
      <c r="A34" s="188">
        <v>5</v>
      </c>
      <c r="B34" s="194" t="s">
        <v>245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6"/>
      <c r="P34" s="196"/>
      <c r="Q34" s="185" t="s">
        <v>237</v>
      </c>
      <c r="R34" s="424"/>
    </row>
    <row r="35" spans="1:18" ht="3" customHeight="1" x14ac:dyDescent="0.25">
      <c r="A35" s="18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Q35" s="185"/>
      <c r="R35" s="209"/>
    </row>
    <row r="36" spans="1:18" x14ac:dyDescent="0.25">
      <c r="A36" s="188">
        <v>6</v>
      </c>
      <c r="B36" s="194" t="s">
        <v>246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6"/>
      <c r="P36" s="196"/>
      <c r="Q36" s="185" t="s">
        <v>237</v>
      </c>
      <c r="R36" s="424"/>
    </row>
    <row r="37" spans="1:18" ht="3" customHeight="1" x14ac:dyDescent="0.25">
      <c r="A37" s="18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Q37" s="185"/>
      <c r="R37" s="209"/>
    </row>
    <row r="38" spans="1:18" x14ac:dyDescent="0.25">
      <c r="A38" s="188">
        <v>7</v>
      </c>
      <c r="B38" s="182" t="s">
        <v>247</v>
      </c>
      <c r="C38" s="182"/>
      <c r="D38" s="182"/>
      <c r="E38" s="182"/>
      <c r="F38" s="182"/>
      <c r="G38" s="182"/>
      <c r="H38" s="182"/>
      <c r="I38" s="542"/>
      <c r="J38" s="542"/>
      <c r="K38" s="542"/>
      <c r="L38" s="542"/>
      <c r="M38" s="542"/>
      <c r="N38" s="542"/>
      <c r="O38" s="542"/>
      <c r="P38" s="542"/>
      <c r="Q38" s="185" t="s">
        <v>237</v>
      </c>
      <c r="R38" s="424"/>
    </row>
    <row r="39" spans="1:18" ht="9" customHeight="1" x14ac:dyDescent="0.25">
      <c r="A39" s="188"/>
      <c r="B39" s="184" t="s">
        <v>242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R39" s="210"/>
    </row>
    <row r="40" spans="1:18" x14ac:dyDescent="0.25">
      <c r="A40" s="188">
        <v>8</v>
      </c>
      <c r="B40" s="194" t="s">
        <v>248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6"/>
      <c r="P40" s="196"/>
      <c r="Q40" s="185" t="s">
        <v>249</v>
      </c>
      <c r="R40" s="424">
        <f>SUM(R21:R39)</f>
        <v>0</v>
      </c>
    </row>
    <row r="41" spans="1:18" ht="3" customHeight="1" x14ac:dyDescent="0.25">
      <c r="A41" s="18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Q41" s="185"/>
      <c r="R41" s="209"/>
    </row>
    <row r="42" spans="1:18" x14ac:dyDescent="0.25">
      <c r="A42" s="188">
        <v>9</v>
      </c>
      <c r="B42" s="194" t="s">
        <v>250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6"/>
      <c r="P42" s="196"/>
      <c r="Q42" s="185" t="s">
        <v>36</v>
      </c>
      <c r="R42" s="424">
        <f>('PA 1'!Q40+'PA 1'!Q41+'PA 1'!Q42)*-1</f>
        <v>0</v>
      </c>
    </row>
    <row r="43" spans="1:18" ht="3" customHeight="1" x14ac:dyDescent="0.25">
      <c r="A43" s="188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Q43" s="185"/>
      <c r="R43" s="209"/>
    </row>
    <row r="44" spans="1:18" x14ac:dyDescent="0.25">
      <c r="A44" s="188">
        <v>10</v>
      </c>
      <c r="B44" s="182" t="s">
        <v>251</v>
      </c>
      <c r="C44" s="182"/>
      <c r="D44" s="182"/>
      <c r="E44" s="182" t="s">
        <v>252</v>
      </c>
      <c r="F44" s="182"/>
      <c r="G44" s="182"/>
      <c r="H44" s="194" t="s">
        <v>253</v>
      </c>
      <c r="I44" s="196"/>
      <c r="J44" s="194"/>
      <c r="K44" s="194"/>
      <c r="L44" s="194"/>
      <c r="M44" s="194"/>
      <c r="N44" s="194"/>
      <c r="O44" s="196"/>
      <c r="P44" s="196"/>
      <c r="Q44" s="185" t="s">
        <v>36</v>
      </c>
      <c r="R44" s="424">
        <f>'PA 1'!Q44*-1</f>
        <v>0</v>
      </c>
    </row>
    <row r="45" spans="1:18" x14ac:dyDescent="0.25">
      <c r="A45" s="188"/>
      <c r="B45" s="182" t="s">
        <v>254</v>
      </c>
      <c r="C45" s="182"/>
      <c r="D45" s="182"/>
      <c r="E45" s="182" t="s">
        <v>255</v>
      </c>
      <c r="F45" s="182"/>
      <c r="G45" s="182"/>
      <c r="H45" s="182"/>
      <c r="J45" s="182"/>
      <c r="K45" s="182"/>
      <c r="L45" s="182"/>
      <c r="M45" s="182"/>
      <c r="N45" s="182"/>
      <c r="R45" s="210"/>
    </row>
    <row r="46" spans="1:18" x14ac:dyDescent="0.25">
      <c r="A46" s="188"/>
      <c r="B46" s="182" t="s">
        <v>256</v>
      </c>
      <c r="C46" s="182"/>
      <c r="E46" s="182" t="s">
        <v>257</v>
      </c>
      <c r="H46" s="194" t="s">
        <v>258</v>
      </c>
      <c r="I46" s="196"/>
      <c r="J46" s="196"/>
      <c r="K46" s="196"/>
      <c r="L46" s="196"/>
      <c r="M46" s="196"/>
      <c r="N46" s="196"/>
      <c r="O46" s="196"/>
      <c r="P46" s="196"/>
      <c r="Q46" s="185" t="s">
        <v>36</v>
      </c>
      <c r="R46" s="424"/>
    </row>
    <row r="47" spans="1:18" ht="3" customHeight="1" x14ac:dyDescent="0.25">
      <c r="A47" s="188"/>
      <c r="B47" s="182"/>
      <c r="C47" s="182"/>
      <c r="E47" s="182"/>
      <c r="H47" s="182"/>
      <c r="Q47" s="185"/>
      <c r="R47" s="209"/>
    </row>
    <row r="48" spans="1:18" x14ac:dyDescent="0.25">
      <c r="A48" s="188">
        <v>11</v>
      </c>
      <c r="B48" s="197" t="s">
        <v>259</v>
      </c>
      <c r="C48" s="194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85" t="s">
        <v>249</v>
      </c>
      <c r="R48" s="424">
        <f>R40-SUM(R42:R46)</f>
        <v>0</v>
      </c>
    </row>
    <row r="49" spans="1:18" ht="9" customHeight="1" x14ac:dyDescent="0.25">
      <c r="A49" s="188"/>
      <c r="B49" s="189" t="s">
        <v>260</v>
      </c>
      <c r="C49" s="182"/>
      <c r="R49" s="210"/>
    </row>
    <row r="50" spans="1:18" x14ac:dyDescent="0.25">
      <c r="A50" s="188">
        <v>12</v>
      </c>
      <c r="B50" s="194" t="s">
        <v>261</v>
      </c>
      <c r="C50" s="194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R50" s="424">
        <f>'PA 1'!Q46*-1</f>
        <v>0</v>
      </c>
    </row>
    <row r="51" spans="1:18" x14ac:dyDescent="0.25">
      <c r="A51" s="188">
        <v>13</v>
      </c>
      <c r="B51" s="182" t="s">
        <v>262</v>
      </c>
      <c r="C51" s="182"/>
      <c r="R51" s="211"/>
    </row>
    <row r="52" spans="1:18" ht="9" customHeight="1" x14ac:dyDescent="0.25">
      <c r="B52" s="184" t="s">
        <v>263</v>
      </c>
      <c r="R52" s="211"/>
    </row>
    <row r="53" spans="1:18" ht="13.5" customHeight="1" x14ac:dyDescent="0.25">
      <c r="A53" s="551">
        <v>13.1</v>
      </c>
      <c r="B53" s="551"/>
      <c r="C53" s="553" t="s">
        <v>264</v>
      </c>
      <c r="D53" s="190" t="s">
        <v>265</v>
      </c>
      <c r="E53" s="194" t="s">
        <v>266</v>
      </c>
      <c r="F53" s="194"/>
      <c r="G53" s="194"/>
      <c r="H53" s="194"/>
      <c r="I53" s="196"/>
      <c r="J53" s="196"/>
      <c r="K53" s="196"/>
      <c r="L53" s="196"/>
      <c r="M53" s="196"/>
      <c r="N53" s="196"/>
      <c r="O53" s="196"/>
      <c r="P53" s="420" t="s">
        <v>209</v>
      </c>
      <c r="R53" s="426"/>
    </row>
    <row r="54" spans="1:18" ht="3" customHeight="1" x14ac:dyDescent="0.25">
      <c r="A54" s="203"/>
      <c r="B54" s="203"/>
      <c r="C54" s="553"/>
      <c r="D54" s="190"/>
      <c r="E54" s="182"/>
      <c r="F54" s="182"/>
      <c r="G54" s="182"/>
      <c r="H54" s="182"/>
      <c r="R54" s="212"/>
    </row>
    <row r="55" spans="1:18" x14ac:dyDescent="0.25">
      <c r="A55" s="188"/>
      <c r="B55" s="188"/>
      <c r="C55" s="553"/>
      <c r="D55" s="191" t="s">
        <v>267</v>
      </c>
      <c r="E55" s="182" t="s">
        <v>268</v>
      </c>
      <c r="F55" s="182"/>
      <c r="G55" s="182"/>
      <c r="H55" s="182"/>
      <c r="I55" s="543"/>
      <c r="J55" s="543"/>
      <c r="K55" s="543"/>
      <c r="L55" s="543"/>
      <c r="M55" s="543"/>
      <c r="N55" s="543"/>
      <c r="O55" s="543"/>
      <c r="P55" s="543"/>
      <c r="R55" s="426"/>
    </row>
    <row r="56" spans="1:18" ht="9" customHeight="1" x14ac:dyDescent="0.25">
      <c r="A56" s="188"/>
      <c r="B56" s="188"/>
      <c r="C56" s="553"/>
      <c r="D56" s="192"/>
      <c r="E56" s="187" t="s">
        <v>242</v>
      </c>
      <c r="R56" s="211"/>
    </row>
    <row r="57" spans="1:18" x14ac:dyDescent="0.25">
      <c r="A57" s="552">
        <v>13.2</v>
      </c>
      <c r="B57" s="552"/>
      <c r="C57" s="182" t="s">
        <v>269</v>
      </c>
      <c r="D57" s="191" t="s">
        <v>270</v>
      </c>
      <c r="E57" s="194" t="s">
        <v>271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R57" s="426"/>
    </row>
    <row r="58" spans="1:18" ht="3" customHeight="1" x14ac:dyDescent="0.25">
      <c r="A58" s="204"/>
      <c r="B58" s="204"/>
      <c r="C58" s="182"/>
      <c r="D58" s="191"/>
      <c r="E58" s="182"/>
      <c r="R58" s="213"/>
    </row>
    <row r="59" spans="1:18" x14ac:dyDescent="0.25">
      <c r="A59" s="188"/>
      <c r="B59" s="188"/>
      <c r="C59" s="182" t="s">
        <v>272</v>
      </c>
      <c r="D59" s="191" t="s">
        <v>273</v>
      </c>
      <c r="E59" s="194" t="s">
        <v>274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R59" s="426"/>
    </row>
    <row r="60" spans="1:18" ht="3" customHeight="1" x14ac:dyDescent="0.25">
      <c r="A60" s="188"/>
      <c r="B60" s="188"/>
      <c r="C60" s="182"/>
      <c r="D60" s="191"/>
      <c r="E60" s="182"/>
      <c r="I60" s="201"/>
      <c r="J60" s="201"/>
      <c r="K60" s="201"/>
      <c r="L60" s="201"/>
      <c r="M60" s="201"/>
      <c r="N60" s="201"/>
      <c r="O60" s="201"/>
      <c r="P60" s="201"/>
      <c r="R60" s="213"/>
    </row>
    <row r="61" spans="1:18" x14ac:dyDescent="0.25">
      <c r="A61" s="188"/>
      <c r="B61" s="188"/>
      <c r="C61" s="182" t="s">
        <v>275</v>
      </c>
      <c r="D61" s="191" t="s">
        <v>276</v>
      </c>
      <c r="E61" s="182" t="s">
        <v>268</v>
      </c>
      <c r="I61" s="543"/>
      <c r="J61" s="543"/>
      <c r="K61" s="543"/>
      <c r="L61" s="543"/>
      <c r="M61" s="543"/>
      <c r="N61" s="543"/>
      <c r="O61" s="543"/>
      <c r="P61" s="543"/>
      <c r="R61" s="426"/>
    </row>
    <row r="62" spans="1:18" ht="9" customHeight="1" x14ac:dyDescent="0.25">
      <c r="B62" s="182"/>
      <c r="C62" s="182"/>
      <c r="E62" s="187" t="s">
        <v>242</v>
      </c>
      <c r="R62" s="211"/>
    </row>
    <row r="63" spans="1:18" x14ac:dyDescent="0.25">
      <c r="A63" s="551">
        <v>13.3</v>
      </c>
      <c r="B63" s="551"/>
      <c r="C63" s="194" t="s">
        <v>277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R63" s="426"/>
    </row>
    <row r="64" spans="1:18" ht="3" customHeight="1" x14ac:dyDescent="0.25">
      <c r="A64" s="203"/>
      <c r="B64" s="203"/>
      <c r="C64" s="182"/>
    </row>
    <row r="65" spans="1:18" x14ac:dyDescent="0.25">
      <c r="A65" s="188">
        <v>14</v>
      </c>
      <c r="B65" s="182" t="s">
        <v>278</v>
      </c>
      <c r="C65" s="182"/>
      <c r="F65" s="182" t="s">
        <v>279</v>
      </c>
      <c r="G65" s="182"/>
      <c r="H65" s="182"/>
      <c r="I65" s="543"/>
      <c r="J65" s="543"/>
      <c r="K65" s="543"/>
      <c r="L65" s="543"/>
      <c r="M65" s="543"/>
      <c r="N65" s="543"/>
      <c r="O65" s="543"/>
      <c r="P65" s="543"/>
      <c r="Q65" s="543"/>
      <c r="R65" s="543"/>
    </row>
    <row r="66" spans="1:18" ht="3" customHeight="1" x14ac:dyDescent="0.25">
      <c r="A66" s="188"/>
      <c r="B66" s="182"/>
      <c r="C66" s="182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5">
      <c r="A67" s="188"/>
      <c r="B67" s="182" t="s">
        <v>280</v>
      </c>
      <c r="C67" s="182"/>
      <c r="F67" s="182" t="s">
        <v>281</v>
      </c>
      <c r="G67" s="182"/>
      <c r="H67" s="182"/>
      <c r="I67" s="543"/>
      <c r="J67" s="543"/>
      <c r="K67" s="543"/>
      <c r="L67" s="543"/>
      <c r="M67" s="543"/>
      <c r="N67" s="543"/>
      <c r="O67" s="543"/>
      <c r="P67" s="543"/>
      <c r="Q67" s="543"/>
      <c r="R67" s="543"/>
    </row>
    <row r="68" spans="1:18" ht="3" customHeight="1" x14ac:dyDescent="0.25">
      <c r="A68" s="188"/>
      <c r="B68" s="182"/>
      <c r="C68" s="182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5">
      <c r="A69" s="188"/>
      <c r="B69" s="182" t="s">
        <v>282</v>
      </c>
      <c r="C69" s="182"/>
      <c r="F69" s="182" t="s">
        <v>283</v>
      </c>
      <c r="G69" s="182"/>
      <c r="H69" s="182"/>
      <c r="I69" s="543"/>
      <c r="J69" s="543"/>
      <c r="K69" s="543"/>
      <c r="L69" s="543"/>
      <c r="M69" s="543"/>
      <c r="N69" s="543"/>
      <c r="O69" s="543"/>
      <c r="P69" s="543"/>
      <c r="Q69" s="543"/>
      <c r="R69" s="543"/>
    </row>
    <row r="70" spans="1:18" ht="3" customHeight="1" x14ac:dyDescent="0.25">
      <c r="A70" s="188"/>
      <c r="B70" s="182"/>
      <c r="C70" s="182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5">
      <c r="A71" s="188">
        <v>15</v>
      </c>
      <c r="B71" s="182" t="s">
        <v>284</v>
      </c>
      <c r="C71" s="182"/>
      <c r="D71" s="545" t="str">
        <f>IF('PA 1'!L7&lt;100%,"Taux d'occupation "&amp;('PA 1'!L7+'PA 1'!L12)*100&amp;"%","")</f>
        <v>Taux d'occupation 0%</v>
      </c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</row>
    <row r="72" spans="1:18" ht="3" customHeight="1" x14ac:dyDescent="0.25">
      <c r="A72" s="188"/>
      <c r="B72" s="182"/>
      <c r="C72" s="182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x14ac:dyDescent="0.25">
      <c r="A73" s="188"/>
      <c r="B73" s="182" t="s">
        <v>285</v>
      </c>
      <c r="C73" s="182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</row>
    <row r="74" spans="1:18" ht="3" customHeight="1" x14ac:dyDescent="0.25">
      <c r="A74" s="188"/>
      <c r="B74" s="182"/>
      <c r="C74" s="182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x14ac:dyDescent="0.25">
      <c r="A75" s="188"/>
      <c r="B75" s="182" t="s">
        <v>286</v>
      </c>
      <c r="C75" s="182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</row>
    <row r="76" spans="1:18" x14ac:dyDescent="0.25">
      <c r="A76" s="188"/>
      <c r="B76" s="182"/>
      <c r="C76" s="182"/>
    </row>
    <row r="77" spans="1:18" x14ac:dyDescent="0.25">
      <c r="A77" s="188" t="s">
        <v>287</v>
      </c>
      <c r="B77" s="182" t="s">
        <v>288</v>
      </c>
      <c r="C77" s="182"/>
      <c r="F77" s="182" t="s">
        <v>289</v>
      </c>
      <c r="G77" s="182"/>
      <c r="M77" s="486">
        <f>'Attestation du salaire (ord.)'!A8:A8</f>
        <v>0</v>
      </c>
      <c r="N77" s="486"/>
      <c r="O77" s="486"/>
      <c r="P77" s="486"/>
      <c r="Q77" s="486"/>
      <c r="R77" s="486"/>
    </row>
    <row r="78" spans="1:18" ht="9" customHeight="1" x14ac:dyDescent="0.25">
      <c r="B78" s="182"/>
      <c r="C78" s="182"/>
      <c r="F78" s="184" t="s">
        <v>290</v>
      </c>
      <c r="G78" s="184"/>
      <c r="M78" s="214"/>
      <c r="N78" s="214"/>
      <c r="O78" s="214"/>
      <c r="P78" s="214"/>
      <c r="Q78" s="214"/>
      <c r="R78" s="214"/>
    </row>
    <row r="79" spans="1:18" x14ac:dyDescent="0.25">
      <c r="B79" s="182"/>
      <c r="C79" s="182"/>
      <c r="F79" s="182" t="s">
        <v>291</v>
      </c>
      <c r="G79" s="182"/>
      <c r="M79" s="486">
        <f>'Attestation du salaire (ord.)'!A9:A9</f>
        <v>0</v>
      </c>
      <c r="N79" s="486"/>
      <c r="O79" s="486"/>
      <c r="P79" s="486"/>
      <c r="Q79" s="486"/>
      <c r="R79" s="486"/>
    </row>
    <row r="80" spans="1:18" ht="9" customHeight="1" x14ac:dyDescent="0.25">
      <c r="B80" s="182"/>
      <c r="C80" s="182"/>
      <c r="F80" s="184" t="s">
        <v>292</v>
      </c>
      <c r="G80" s="184"/>
      <c r="M80" s="214"/>
      <c r="N80" s="214"/>
      <c r="O80" s="214"/>
      <c r="P80" s="214"/>
      <c r="Q80" s="214"/>
      <c r="R80" s="214"/>
    </row>
    <row r="81" spans="2:18" x14ac:dyDescent="0.25">
      <c r="B81" s="182"/>
      <c r="C81" s="182"/>
      <c r="F81" s="182" t="s">
        <v>293</v>
      </c>
      <c r="G81" s="182"/>
      <c r="M81" s="486">
        <f>'Attestation du salaire (ord.)'!A10:A10</f>
        <v>0</v>
      </c>
      <c r="N81" s="486"/>
      <c r="O81" s="486"/>
      <c r="P81" s="486"/>
      <c r="Q81" s="486"/>
      <c r="R81" s="486"/>
    </row>
    <row r="82" spans="2:18" ht="9" customHeight="1" x14ac:dyDescent="0.25">
      <c r="B82" s="182"/>
      <c r="C82" s="182"/>
      <c r="F82" s="184" t="s">
        <v>294</v>
      </c>
      <c r="G82" s="184"/>
      <c r="M82" s="215"/>
      <c r="N82" s="215"/>
      <c r="O82" s="215"/>
      <c r="P82" s="215"/>
      <c r="Q82" s="215"/>
      <c r="R82" s="215"/>
    </row>
    <row r="83" spans="2:18" x14ac:dyDescent="0.25">
      <c r="B83" s="182"/>
      <c r="C83" s="182"/>
      <c r="I83" s="182"/>
      <c r="M83" s="544" t="s">
        <v>295</v>
      </c>
      <c r="N83" s="544"/>
      <c r="O83" s="544"/>
      <c r="P83" s="544"/>
      <c r="Q83" s="544"/>
      <c r="R83" s="544"/>
    </row>
    <row r="84" spans="2:18" x14ac:dyDescent="0.25">
      <c r="B84" s="182"/>
      <c r="C84" s="182"/>
    </row>
  </sheetData>
  <sheetProtection algorithmName="SHA-512" hashValue="xzNRSp8C9z3rFry2/PKSJoEll2U1iugvIWRyYkU+KWS/X6gB5JxDYHxfstd3hLqdD1eHmem4K+E8Y8s03TMU/A==" saltValue="ryq91WVQC+9Pruy1SLtggw==" spinCount="100000" sheet="1" objects="1" scenarios="1"/>
  <mergeCells count="27">
    <mergeCell ref="B5:F5"/>
    <mergeCell ref="H5:K5"/>
    <mergeCell ref="B7:C7"/>
    <mergeCell ref="I67:R67"/>
    <mergeCell ref="I69:R69"/>
    <mergeCell ref="I7:J7"/>
    <mergeCell ref="J27:P27"/>
    <mergeCell ref="O5:R6"/>
    <mergeCell ref="O7:R8"/>
    <mergeCell ref="R18:R20"/>
    <mergeCell ref="I65:R65"/>
    <mergeCell ref="A53:B53"/>
    <mergeCell ref="A57:B57"/>
    <mergeCell ref="A63:B63"/>
    <mergeCell ref="C53:C56"/>
    <mergeCell ref="B30:P30"/>
    <mergeCell ref="I32:P32"/>
    <mergeCell ref="I38:P38"/>
    <mergeCell ref="I55:P55"/>
    <mergeCell ref="I61:P61"/>
    <mergeCell ref="M83:R83"/>
    <mergeCell ref="M77:R77"/>
    <mergeCell ref="M79:R79"/>
    <mergeCell ref="M81:R81"/>
    <mergeCell ref="D71:R71"/>
    <mergeCell ref="D73:R73"/>
    <mergeCell ref="D75:R75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  <pageSetUpPr fitToPage="1"/>
  </sheetPr>
  <dimension ref="A1:R84"/>
  <sheetViews>
    <sheetView showGridLines="0" showZeros="0" topLeftCell="A44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2" bestFit="1" customWidth="1"/>
    <col min="2" max="2" width="3.28515625" style="183" customWidth="1"/>
    <col min="3" max="3" width="12" style="183" customWidth="1"/>
    <col min="4" max="4" width="7.42578125" style="183" customWidth="1"/>
    <col min="5" max="5" width="1.85546875" style="183" customWidth="1"/>
    <col min="6" max="6" width="10.28515625" style="183" customWidth="1"/>
    <col min="7" max="7" width="1.7109375" style="183" customWidth="1"/>
    <col min="8" max="9" width="5.7109375" style="183" customWidth="1"/>
    <col min="10" max="11" width="6.28515625" style="183" customWidth="1"/>
    <col min="12" max="12" width="4" style="183" customWidth="1"/>
    <col min="13" max="13" width="2.140625" style="183" bestFit="1" customWidth="1"/>
    <col min="14" max="14" width="2.7109375" style="183" customWidth="1"/>
    <col min="15" max="15" width="14.7109375" style="183" customWidth="1"/>
    <col min="16" max="16" width="2.7109375" style="183" customWidth="1"/>
    <col min="17" max="17" width="1.7109375" style="183" customWidth="1"/>
    <col min="18" max="18" width="14.140625" style="183" customWidth="1"/>
    <col min="19" max="16384" width="11.42578125" style="183"/>
  </cols>
  <sheetData>
    <row r="1" spans="1:18" ht="18.75" x14ac:dyDescent="0.4">
      <c r="A1" s="188" t="s">
        <v>208</v>
      </c>
      <c r="B1" s="420" t="s">
        <v>209</v>
      </c>
      <c r="C1" s="207" t="s">
        <v>210</v>
      </c>
    </row>
    <row r="2" spans="1:18" ht="3" customHeight="1" x14ac:dyDescent="0.4">
      <c r="A2" s="188"/>
      <c r="C2" s="207"/>
    </row>
    <row r="3" spans="1:18" ht="18.75" x14ac:dyDescent="0.4">
      <c r="A3" s="188" t="s">
        <v>211</v>
      </c>
      <c r="B3" s="421"/>
      <c r="C3" s="207" t="s">
        <v>212</v>
      </c>
    </row>
    <row r="4" spans="1:18" ht="9" customHeight="1" x14ac:dyDescent="0.25">
      <c r="A4" s="188"/>
      <c r="C4" s="192"/>
    </row>
    <row r="5" spans="1:18" ht="13.5" customHeight="1" x14ac:dyDescent="0.25">
      <c r="A5" s="188" t="s">
        <v>213</v>
      </c>
      <c r="B5" s="546" t="str">
        <f>IF('PA 2'!$F$6="","",'PA 2'!$F$6)</f>
        <v/>
      </c>
      <c r="C5" s="546"/>
      <c r="D5" s="546"/>
      <c r="E5" s="546"/>
      <c r="F5" s="546"/>
      <c r="H5" s="547" cm="1">
        <f t="array" ref="H5">'PA 2'!F7:F7</f>
        <v>0</v>
      </c>
      <c r="I5" s="547"/>
      <c r="J5" s="547"/>
      <c r="K5" s="547"/>
      <c r="M5" s="193" t="s">
        <v>214</v>
      </c>
      <c r="N5" s="421"/>
      <c r="O5" s="549" t="s">
        <v>215</v>
      </c>
      <c r="P5" s="549"/>
      <c r="Q5" s="549"/>
      <c r="R5" s="549"/>
    </row>
    <row r="6" spans="1:18" x14ac:dyDescent="0.25">
      <c r="A6" s="188"/>
      <c r="B6" s="187" t="s">
        <v>216</v>
      </c>
      <c r="C6" s="198"/>
      <c r="D6" s="187"/>
      <c r="E6" s="198"/>
      <c r="F6" s="187"/>
      <c r="G6" s="187"/>
      <c r="H6" s="187" t="s">
        <v>217</v>
      </c>
      <c r="M6" s="193"/>
      <c r="O6" s="549"/>
      <c r="P6" s="549"/>
      <c r="Q6" s="549"/>
      <c r="R6" s="549"/>
    </row>
    <row r="7" spans="1:18" ht="13.5" customHeight="1" x14ac:dyDescent="0.25">
      <c r="A7" s="188" t="s">
        <v>218</v>
      </c>
      <c r="B7" s="548">
        <f>'PA 2'!A21</f>
        <v>45657</v>
      </c>
      <c r="C7" s="548"/>
      <c r="E7" s="188" t="s">
        <v>219</v>
      </c>
      <c r="F7" s="422">
        <f>IF('PA 2'!$Q$37=0,0,IF('PA 2'!$C$14&lt;'PA 2'!$C$21,'PA 2'!$C$21,'PA 2'!$C$14))</f>
        <v>0</v>
      </c>
      <c r="G7" s="422"/>
      <c r="H7" s="1"/>
      <c r="I7" s="547">
        <f>IF('PA 2'!$Q$37=0,0,IF('PA 2'!$C$15&gt;0,'PA 2'!$C$15,B7))</f>
        <v>0</v>
      </c>
      <c r="J7" s="547"/>
      <c r="M7" s="193" t="s">
        <v>220</v>
      </c>
      <c r="N7" s="421"/>
      <c r="O7" s="549" t="s">
        <v>221</v>
      </c>
      <c r="P7" s="549"/>
      <c r="Q7" s="549"/>
      <c r="R7" s="549"/>
    </row>
    <row r="8" spans="1:18" x14ac:dyDescent="0.25">
      <c r="A8" s="188"/>
      <c r="B8" s="187" t="s">
        <v>222</v>
      </c>
      <c r="C8" s="187"/>
      <c r="D8" s="187"/>
      <c r="E8" s="187"/>
      <c r="F8" s="187" t="s">
        <v>223</v>
      </c>
      <c r="G8" s="187"/>
      <c r="H8" s="187"/>
      <c r="I8" s="187" t="s">
        <v>224</v>
      </c>
      <c r="M8" s="193"/>
      <c r="O8" s="549"/>
      <c r="P8" s="549"/>
      <c r="Q8" s="549"/>
      <c r="R8" s="549"/>
    </row>
    <row r="9" spans="1:18" x14ac:dyDescent="0.25">
      <c r="A9" s="188" t="s">
        <v>225</v>
      </c>
    </row>
    <row r="10" spans="1:18" x14ac:dyDescent="0.25">
      <c r="A10" s="188"/>
    </row>
    <row r="11" spans="1:18" x14ac:dyDescent="0.25">
      <c r="A11" s="188"/>
      <c r="L11" s="1" t="str">
        <f>CONCATENATE('PA 2'!C6:C6," ",'PA 2'!C7:C7)</f>
        <v xml:space="preserve"> </v>
      </c>
    </row>
    <row r="12" spans="1:18" x14ac:dyDescent="0.25">
      <c r="A12" s="188"/>
      <c r="L12" s="1">
        <f>'PA 2'!C8:C8</f>
        <v>0</v>
      </c>
    </row>
    <row r="13" spans="1:18" x14ac:dyDescent="0.25">
      <c r="A13" s="188"/>
      <c r="L13" s="1">
        <f>'PA 2'!C9:C9</f>
        <v>0</v>
      </c>
    </row>
    <row r="14" spans="1:18" x14ac:dyDescent="0.25">
      <c r="A14" s="188"/>
    </row>
    <row r="15" spans="1:18" x14ac:dyDescent="0.25">
      <c r="A15" s="188"/>
    </row>
    <row r="16" spans="1:18" x14ac:dyDescent="0.25">
      <c r="A16" s="188"/>
    </row>
    <row r="17" spans="1:18" x14ac:dyDescent="0.25">
      <c r="A17" s="188"/>
    </row>
    <row r="18" spans="1:18" ht="13.5" customHeight="1" x14ac:dyDescent="0.25">
      <c r="A18" s="188"/>
      <c r="R18" s="550" t="s">
        <v>226</v>
      </c>
    </row>
    <row r="19" spans="1:18" x14ac:dyDescent="0.25">
      <c r="A19" s="188">
        <v>1</v>
      </c>
      <c r="B19" s="182" t="s">
        <v>227</v>
      </c>
      <c r="C19" s="182"/>
      <c r="D19" s="182" t="s">
        <v>228</v>
      </c>
      <c r="E19" s="182"/>
      <c r="F19" s="182"/>
      <c r="G19" s="182"/>
      <c r="H19" s="182"/>
      <c r="I19" s="182"/>
      <c r="J19" s="186" t="s">
        <v>229</v>
      </c>
      <c r="K19" s="186"/>
      <c r="L19" s="182"/>
      <c r="M19" s="182"/>
      <c r="N19" s="182"/>
      <c r="Q19" s="206"/>
      <c r="R19" s="550"/>
    </row>
    <row r="20" spans="1:18" x14ac:dyDescent="0.25">
      <c r="A20" s="188"/>
      <c r="B20" s="182" t="s">
        <v>230</v>
      </c>
      <c r="C20" s="182"/>
      <c r="D20" s="182" t="s">
        <v>231</v>
      </c>
      <c r="E20" s="182"/>
      <c r="F20" s="182"/>
      <c r="G20" s="182"/>
      <c r="H20" s="182"/>
      <c r="I20" s="182"/>
      <c r="J20" s="186" t="s">
        <v>229</v>
      </c>
      <c r="K20" s="186"/>
      <c r="L20" s="182"/>
      <c r="M20" s="182"/>
      <c r="N20" s="182"/>
      <c r="Q20" s="206"/>
      <c r="R20" s="550"/>
    </row>
    <row r="21" spans="1:18" x14ac:dyDescent="0.25">
      <c r="A21" s="188"/>
      <c r="B21" s="194" t="s">
        <v>232</v>
      </c>
      <c r="C21" s="194"/>
      <c r="D21" s="194" t="s">
        <v>233</v>
      </c>
      <c r="E21" s="194"/>
      <c r="F21" s="194"/>
      <c r="G21" s="194"/>
      <c r="H21" s="194"/>
      <c r="I21" s="194"/>
      <c r="J21" s="195" t="s">
        <v>234</v>
      </c>
      <c r="K21" s="195"/>
      <c r="L21" s="194"/>
      <c r="M21" s="194"/>
      <c r="N21" s="194"/>
      <c r="O21" s="196"/>
      <c r="P21" s="196"/>
      <c r="R21" s="423">
        <f>'PA 2'!Q37-'PA 2'!Q31</f>
        <v>0</v>
      </c>
    </row>
    <row r="22" spans="1:18" ht="3" customHeight="1" x14ac:dyDescent="0.25">
      <c r="A22" s="188"/>
      <c r="B22" s="182"/>
      <c r="C22" s="182"/>
      <c r="D22" s="182"/>
      <c r="E22" s="182"/>
      <c r="F22" s="199"/>
      <c r="G22" s="199"/>
      <c r="H22" s="199"/>
      <c r="I22" s="199"/>
      <c r="J22" s="200"/>
      <c r="K22" s="200"/>
      <c r="L22" s="199"/>
      <c r="M22" s="199"/>
      <c r="N22" s="199"/>
      <c r="O22" s="201"/>
      <c r="P22" s="201"/>
      <c r="R22" s="208"/>
    </row>
    <row r="23" spans="1:18" x14ac:dyDescent="0.25">
      <c r="A23" s="188">
        <v>2</v>
      </c>
      <c r="B23" s="182" t="s">
        <v>235</v>
      </c>
      <c r="C23" s="182"/>
      <c r="D23" s="182"/>
      <c r="E23" s="182"/>
      <c r="F23" s="194" t="s">
        <v>236</v>
      </c>
      <c r="G23" s="194"/>
      <c r="H23" s="194"/>
      <c r="I23" s="196"/>
      <c r="J23" s="194"/>
      <c r="K23" s="194"/>
      <c r="L23" s="194"/>
      <c r="M23" s="194"/>
      <c r="N23" s="194"/>
      <c r="O23" s="196"/>
      <c r="P23" s="196"/>
      <c r="Q23" s="185" t="s">
        <v>237</v>
      </c>
      <c r="R23" s="424">
        <f>'PA 2'!Q31</f>
        <v>0</v>
      </c>
    </row>
    <row r="24" spans="1:18" ht="3" customHeight="1" x14ac:dyDescent="0.25">
      <c r="A24" s="188"/>
      <c r="B24" s="182"/>
      <c r="C24" s="182"/>
      <c r="D24" s="182"/>
      <c r="E24" s="182"/>
      <c r="F24" s="199"/>
      <c r="G24" s="199"/>
      <c r="H24" s="199"/>
      <c r="I24" s="201"/>
      <c r="J24" s="199"/>
      <c r="K24" s="199"/>
      <c r="L24" s="199"/>
      <c r="M24" s="199"/>
      <c r="N24" s="199"/>
      <c r="O24" s="201"/>
      <c r="P24" s="201"/>
      <c r="Q24" s="185"/>
      <c r="R24" s="208"/>
    </row>
    <row r="25" spans="1:18" x14ac:dyDescent="0.25">
      <c r="A25" s="188"/>
      <c r="B25" s="182" t="s">
        <v>238</v>
      </c>
      <c r="C25" s="182"/>
      <c r="D25" s="182"/>
      <c r="E25" s="182"/>
      <c r="F25" s="194" t="s">
        <v>239</v>
      </c>
      <c r="G25" s="194"/>
      <c r="H25" s="194"/>
      <c r="I25" s="194"/>
      <c r="J25" s="194"/>
      <c r="K25" s="194"/>
      <c r="L25" s="194"/>
      <c r="M25" s="194"/>
      <c r="N25" s="194"/>
      <c r="O25" s="196"/>
      <c r="P25" s="196"/>
      <c r="Q25" s="185" t="s">
        <v>237</v>
      </c>
      <c r="R25" s="424"/>
    </row>
    <row r="26" spans="1:18" ht="3" customHeight="1" x14ac:dyDescent="0.25">
      <c r="A26" s="1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Q26" s="185"/>
      <c r="R26" s="209"/>
    </row>
    <row r="27" spans="1:18" x14ac:dyDescent="0.25">
      <c r="A27" s="188"/>
      <c r="B27" s="182" t="s">
        <v>240</v>
      </c>
      <c r="C27" s="182"/>
      <c r="D27" s="182"/>
      <c r="E27" s="182"/>
      <c r="F27" s="182" t="s">
        <v>241</v>
      </c>
      <c r="G27" s="182"/>
      <c r="H27" s="182"/>
      <c r="I27" s="182"/>
      <c r="J27" s="542"/>
      <c r="K27" s="542"/>
      <c r="L27" s="542"/>
      <c r="M27" s="542"/>
      <c r="N27" s="542"/>
      <c r="O27" s="542"/>
      <c r="P27" s="542"/>
      <c r="Q27" s="185" t="s">
        <v>237</v>
      </c>
      <c r="R27" s="424"/>
    </row>
    <row r="28" spans="1:18" ht="9.75" customHeight="1" x14ac:dyDescent="0.25">
      <c r="A28" s="188"/>
      <c r="B28" s="182"/>
      <c r="C28" s="182"/>
      <c r="D28" s="182"/>
      <c r="E28" s="182"/>
      <c r="F28" s="184" t="s">
        <v>242</v>
      </c>
      <c r="G28" s="184"/>
      <c r="H28" s="184"/>
      <c r="I28" s="182"/>
      <c r="J28" s="182"/>
      <c r="K28" s="182"/>
      <c r="L28" s="182"/>
      <c r="M28" s="182"/>
      <c r="N28" s="182"/>
      <c r="R28" s="210"/>
    </row>
    <row r="29" spans="1:18" x14ac:dyDescent="0.25">
      <c r="A29" s="188">
        <v>3</v>
      </c>
      <c r="B29" s="182" t="s">
        <v>243</v>
      </c>
      <c r="C29" s="182"/>
      <c r="D29" s="182"/>
      <c r="E29" s="182"/>
      <c r="F29" s="182"/>
      <c r="G29" s="182"/>
      <c r="H29" s="182"/>
      <c r="I29" s="182"/>
      <c r="J29" s="182"/>
      <c r="K29" s="184" t="s">
        <v>242</v>
      </c>
      <c r="M29" s="182"/>
      <c r="N29" s="182"/>
      <c r="Q29" s="185" t="s">
        <v>237</v>
      </c>
      <c r="R29" s="210"/>
    </row>
    <row r="30" spans="1:18" x14ac:dyDescent="0.25">
      <c r="A30" s="188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R30" s="424"/>
    </row>
    <row r="31" spans="1:18" ht="3" customHeight="1" x14ac:dyDescent="0.25">
      <c r="A31" s="18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R31" s="208"/>
    </row>
    <row r="32" spans="1:18" x14ac:dyDescent="0.25">
      <c r="A32" s="188">
        <v>4</v>
      </c>
      <c r="B32" s="182" t="s">
        <v>244</v>
      </c>
      <c r="C32" s="182"/>
      <c r="D32" s="182"/>
      <c r="E32" s="182"/>
      <c r="F32" s="182"/>
      <c r="G32" s="182"/>
      <c r="H32" s="182"/>
      <c r="I32" s="542"/>
      <c r="J32" s="542"/>
      <c r="K32" s="542"/>
      <c r="L32" s="542"/>
      <c r="M32" s="542"/>
      <c r="N32" s="542"/>
      <c r="O32" s="542"/>
      <c r="P32" s="542"/>
      <c r="Q32" s="185" t="s">
        <v>237</v>
      </c>
      <c r="R32" s="424"/>
    </row>
    <row r="33" spans="1:18" ht="9" customHeight="1" x14ac:dyDescent="0.25">
      <c r="A33" s="188"/>
      <c r="B33" s="184" t="s">
        <v>242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R33" s="210"/>
    </row>
    <row r="34" spans="1:18" x14ac:dyDescent="0.25">
      <c r="A34" s="188">
        <v>5</v>
      </c>
      <c r="B34" s="194" t="s">
        <v>245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6"/>
      <c r="P34" s="196"/>
      <c r="Q34" s="185" t="s">
        <v>237</v>
      </c>
      <c r="R34" s="424"/>
    </row>
    <row r="35" spans="1:18" ht="3" customHeight="1" x14ac:dyDescent="0.25">
      <c r="A35" s="18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Q35" s="185"/>
      <c r="R35" s="209"/>
    </row>
    <row r="36" spans="1:18" x14ac:dyDescent="0.25">
      <c r="A36" s="188">
        <v>6</v>
      </c>
      <c r="B36" s="194" t="s">
        <v>246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6"/>
      <c r="P36" s="196"/>
      <c r="Q36" s="185" t="s">
        <v>237</v>
      </c>
      <c r="R36" s="424"/>
    </row>
    <row r="37" spans="1:18" ht="3" customHeight="1" x14ac:dyDescent="0.25">
      <c r="A37" s="18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Q37" s="185"/>
      <c r="R37" s="209"/>
    </row>
    <row r="38" spans="1:18" x14ac:dyDescent="0.25">
      <c r="A38" s="188">
        <v>7</v>
      </c>
      <c r="B38" s="182" t="s">
        <v>247</v>
      </c>
      <c r="C38" s="182"/>
      <c r="D38" s="182"/>
      <c r="E38" s="182"/>
      <c r="F38" s="182"/>
      <c r="G38" s="182"/>
      <c r="H38" s="182"/>
      <c r="I38" s="542"/>
      <c r="J38" s="542"/>
      <c r="K38" s="542"/>
      <c r="L38" s="542"/>
      <c r="M38" s="542"/>
      <c r="N38" s="542"/>
      <c r="O38" s="542"/>
      <c r="P38" s="542"/>
      <c r="Q38" s="185" t="s">
        <v>237</v>
      </c>
      <c r="R38" s="424"/>
    </row>
    <row r="39" spans="1:18" ht="9" customHeight="1" x14ac:dyDescent="0.25">
      <c r="A39" s="188"/>
      <c r="B39" s="184" t="s">
        <v>242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R39" s="210"/>
    </row>
    <row r="40" spans="1:18" x14ac:dyDescent="0.25">
      <c r="A40" s="188">
        <v>8</v>
      </c>
      <c r="B40" s="194" t="s">
        <v>248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6"/>
      <c r="P40" s="196"/>
      <c r="Q40" s="185" t="s">
        <v>249</v>
      </c>
      <c r="R40" s="424">
        <f>SUM(R21:R39)</f>
        <v>0</v>
      </c>
    </row>
    <row r="41" spans="1:18" ht="3" customHeight="1" x14ac:dyDescent="0.25">
      <c r="A41" s="18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Q41" s="185"/>
      <c r="R41" s="209"/>
    </row>
    <row r="42" spans="1:18" x14ac:dyDescent="0.25">
      <c r="A42" s="188">
        <v>9</v>
      </c>
      <c r="B42" s="194" t="s">
        <v>250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6"/>
      <c r="P42" s="196"/>
      <c r="Q42" s="185" t="s">
        <v>36</v>
      </c>
      <c r="R42" s="424">
        <f>('PA 2'!Q40+'PA 2'!Q41+'PA 2'!Q42)*-1</f>
        <v>0</v>
      </c>
    </row>
    <row r="43" spans="1:18" ht="3" customHeight="1" x14ac:dyDescent="0.25">
      <c r="A43" s="188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Q43" s="185"/>
      <c r="R43" s="209"/>
    </row>
    <row r="44" spans="1:18" x14ac:dyDescent="0.25">
      <c r="A44" s="188">
        <v>10</v>
      </c>
      <c r="B44" s="182" t="s">
        <v>251</v>
      </c>
      <c r="C44" s="182"/>
      <c r="D44" s="182"/>
      <c r="E44" s="182" t="s">
        <v>252</v>
      </c>
      <c r="F44" s="182"/>
      <c r="G44" s="182"/>
      <c r="H44" s="194" t="s">
        <v>253</v>
      </c>
      <c r="I44" s="196"/>
      <c r="J44" s="194"/>
      <c r="K44" s="194"/>
      <c r="L44" s="194"/>
      <c r="M44" s="194"/>
      <c r="N44" s="194"/>
      <c r="O44" s="196"/>
      <c r="P44" s="196"/>
      <c r="Q44" s="185" t="s">
        <v>36</v>
      </c>
      <c r="R44" s="424">
        <f>'PA 2'!Q44*-1</f>
        <v>0</v>
      </c>
    </row>
    <row r="45" spans="1:18" x14ac:dyDescent="0.25">
      <c r="A45" s="188"/>
      <c r="B45" s="182" t="s">
        <v>254</v>
      </c>
      <c r="C45" s="182"/>
      <c r="D45" s="182"/>
      <c r="E45" s="182" t="s">
        <v>255</v>
      </c>
      <c r="F45" s="182"/>
      <c r="G45" s="182"/>
      <c r="H45" s="182"/>
      <c r="J45" s="182"/>
      <c r="K45" s="182"/>
      <c r="L45" s="182"/>
      <c r="M45" s="182"/>
      <c r="N45" s="182"/>
      <c r="R45" s="210"/>
    </row>
    <row r="46" spans="1:18" x14ac:dyDescent="0.25">
      <c r="A46" s="188"/>
      <c r="B46" s="182" t="s">
        <v>256</v>
      </c>
      <c r="C46" s="182"/>
      <c r="E46" s="182" t="s">
        <v>257</v>
      </c>
      <c r="H46" s="194" t="s">
        <v>258</v>
      </c>
      <c r="I46" s="196"/>
      <c r="J46" s="196"/>
      <c r="K46" s="196"/>
      <c r="L46" s="196"/>
      <c r="M46" s="196"/>
      <c r="N46" s="196"/>
      <c r="O46" s="196"/>
      <c r="P46" s="196"/>
      <c r="Q46" s="185" t="s">
        <v>36</v>
      </c>
      <c r="R46" s="424"/>
    </row>
    <row r="47" spans="1:18" ht="3" customHeight="1" x14ac:dyDescent="0.25">
      <c r="A47" s="188"/>
      <c r="B47" s="182"/>
      <c r="C47" s="182"/>
      <c r="E47" s="182"/>
      <c r="H47" s="182"/>
      <c r="Q47" s="185"/>
      <c r="R47" s="209"/>
    </row>
    <row r="48" spans="1:18" x14ac:dyDescent="0.25">
      <c r="A48" s="188">
        <v>11</v>
      </c>
      <c r="B48" s="197" t="s">
        <v>259</v>
      </c>
      <c r="C48" s="194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85" t="s">
        <v>249</v>
      </c>
      <c r="R48" s="424">
        <f>R40-SUM(R42:R46)</f>
        <v>0</v>
      </c>
    </row>
    <row r="49" spans="1:18" ht="9" customHeight="1" x14ac:dyDescent="0.25">
      <c r="A49" s="188"/>
      <c r="B49" s="189" t="s">
        <v>260</v>
      </c>
      <c r="C49" s="182"/>
      <c r="R49" s="210"/>
    </row>
    <row r="50" spans="1:18" x14ac:dyDescent="0.25">
      <c r="A50" s="188">
        <v>12</v>
      </c>
      <c r="B50" s="194" t="s">
        <v>261</v>
      </c>
      <c r="C50" s="194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R50" s="424">
        <f>'PA 2'!Q46*-1</f>
        <v>0</v>
      </c>
    </row>
    <row r="51" spans="1:18" x14ac:dyDescent="0.25">
      <c r="A51" s="188">
        <v>13</v>
      </c>
      <c r="B51" s="182" t="s">
        <v>262</v>
      </c>
      <c r="C51" s="182"/>
      <c r="R51" s="211"/>
    </row>
    <row r="52" spans="1:18" ht="9" customHeight="1" x14ac:dyDescent="0.25">
      <c r="B52" s="184" t="s">
        <v>263</v>
      </c>
      <c r="R52" s="211"/>
    </row>
    <row r="53" spans="1:18" ht="13.5" customHeight="1" x14ac:dyDescent="0.25">
      <c r="A53" s="551">
        <v>13.1</v>
      </c>
      <c r="B53" s="551"/>
      <c r="C53" s="553" t="s">
        <v>264</v>
      </c>
      <c r="D53" s="190" t="s">
        <v>265</v>
      </c>
      <c r="E53" s="194" t="s">
        <v>266</v>
      </c>
      <c r="F53" s="194"/>
      <c r="G53" s="194"/>
      <c r="H53" s="194"/>
      <c r="I53" s="196"/>
      <c r="J53" s="196"/>
      <c r="K53" s="196"/>
      <c r="L53" s="196"/>
      <c r="M53" s="196"/>
      <c r="N53" s="196"/>
      <c r="O53" s="196"/>
      <c r="P53" s="420" t="s">
        <v>209</v>
      </c>
      <c r="R53" s="426"/>
    </row>
    <row r="54" spans="1:18" ht="3" customHeight="1" x14ac:dyDescent="0.25">
      <c r="A54" s="203"/>
      <c r="B54" s="203"/>
      <c r="C54" s="553"/>
      <c r="D54" s="190"/>
      <c r="E54" s="182"/>
      <c r="F54" s="182"/>
      <c r="G54" s="182"/>
      <c r="H54" s="182"/>
      <c r="R54" s="212"/>
    </row>
    <row r="55" spans="1:18" x14ac:dyDescent="0.25">
      <c r="A55" s="188"/>
      <c r="B55" s="188"/>
      <c r="C55" s="553"/>
      <c r="D55" s="191" t="s">
        <v>267</v>
      </c>
      <c r="E55" s="182" t="s">
        <v>268</v>
      </c>
      <c r="F55" s="182"/>
      <c r="G55" s="182"/>
      <c r="H55" s="182"/>
      <c r="I55" s="543"/>
      <c r="J55" s="543"/>
      <c r="K55" s="543"/>
      <c r="L55" s="543"/>
      <c r="M55" s="543"/>
      <c r="N55" s="543"/>
      <c r="O55" s="543"/>
      <c r="P55" s="543"/>
      <c r="R55" s="426"/>
    </row>
    <row r="56" spans="1:18" ht="9" customHeight="1" x14ac:dyDescent="0.25">
      <c r="A56" s="188"/>
      <c r="B56" s="188"/>
      <c r="C56" s="553"/>
      <c r="D56" s="192"/>
      <c r="E56" s="187" t="s">
        <v>242</v>
      </c>
      <c r="R56" s="211"/>
    </row>
    <row r="57" spans="1:18" x14ac:dyDescent="0.25">
      <c r="A57" s="552">
        <v>13.2</v>
      </c>
      <c r="B57" s="552"/>
      <c r="C57" s="182" t="s">
        <v>269</v>
      </c>
      <c r="D57" s="191" t="s">
        <v>270</v>
      </c>
      <c r="E57" s="194" t="s">
        <v>271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R57" s="426"/>
    </row>
    <row r="58" spans="1:18" ht="3" customHeight="1" x14ac:dyDescent="0.25">
      <c r="A58" s="204"/>
      <c r="B58" s="204"/>
      <c r="C58" s="182"/>
      <c r="D58" s="191"/>
      <c r="E58" s="182"/>
      <c r="R58" s="213"/>
    </row>
    <row r="59" spans="1:18" x14ac:dyDescent="0.25">
      <c r="A59" s="188"/>
      <c r="B59" s="188"/>
      <c r="C59" s="182" t="s">
        <v>272</v>
      </c>
      <c r="D59" s="191" t="s">
        <v>273</v>
      </c>
      <c r="E59" s="194" t="s">
        <v>274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R59" s="426"/>
    </row>
    <row r="60" spans="1:18" ht="3" customHeight="1" x14ac:dyDescent="0.25">
      <c r="A60" s="188"/>
      <c r="B60" s="188"/>
      <c r="C60" s="182"/>
      <c r="D60" s="191"/>
      <c r="E60" s="182"/>
      <c r="I60" s="201"/>
      <c r="J60" s="201"/>
      <c r="K60" s="201"/>
      <c r="L60" s="201"/>
      <c r="M60" s="201"/>
      <c r="N60" s="201"/>
      <c r="O60" s="201"/>
      <c r="P60" s="201"/>
      <c r="R60" s="213"/>
    </row>
    <row r="61" spans="1:18" x14ac:dyDescent="0.25">
      <c r="A61" s="188"/>
      <c r="B61" s="188"/>
      <c r="C61" s="182" t="s">
        <v>275</v>
      </c>
      <c r="D61" s="191" t="s">
        <v>276</v>
      </c>
      <c r="E61" s="182" t="s">
        <v>268</v>
      </c>
      <c r="I61" s="543"/>
      <c r="J61" s="543"/>
      <c r="K61" s="543"/>
      <c r="L61" s="543"/>
      <c r="M61" s="543"/>
      <c r="N61" s="543"/>
      <c r="O61" s="543"/>
      <c r="P61" s="543"/>
      <c r="R61" s="426"/>
    </row>
    <row r="62" spans="1:18" ht="9" customHeight="1" x14ac:dyDescent="0.25">
      <c r="B62" s="182"/>
      <c r="C62" s="182"/>
      <c r="E62" s="187" t="s">
        <v>242</v>
      </c>
      <c r="R62" s="211"/>
    </row>
    <row r="63" spans="1:18" x14ac:dyDescent="0.25">
      <c r="A63" s="551">
        <v>13.3</v>
      </c>
      <c r="B63" s="551"/>
      <c r="C63" s="194" t="s">
        <v>277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R63" s="426"/>
    </row>
    <row r="64" spans="1:18" ht="3" customHeight="1" x14ac:dyDescent="0.25">
      <c r="A64" s="203"/>
      <c r="B64" s="203"/>
      <c r="C64" s="182"/>
    </row>
    <row r="65" spans="1:18" x14ac:dyDescent="0.25">
      <c r="A65" s="188">
        <v>14</v>
      </c>
      <c r="B65" s="182" t="s">
        <v>278</v>
      </c>
      <c r="C65" s="182"/>
      <c r="F65" s="182" t="s">
        <v>279</v>
      </c>
      <c r="G65" s="182"/>
      <c r="H65" s="182"/>
      <c r="I65" s="543"/>
      <c r="J65" s="543"/>
      <c r="K65" s="543"/>
      <c r="L65" s="543"/>
      <c r="M65" s="543"/>
      <c r="N65" s="543"/>
      <c r="O65" s="543"/>
      <c r="P65" s="543"/>
      <c r="Q65" s="543"/>
      <c r="R65" s="543"/>
    </row>
    <row r="66" spans="1:18" ht="3" customHeight="1" x14ac:dyDescent="0.25">
      <c r="A66" s="188"/>
      <c r="B66" s="182"/>
      <c r="C66" s="182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5">
      <c r="A67" s="188"/>
      <c r="B67" s="182" t="s">
        <v>280</v>
      </c>
      <c r="C67" s="182"/>
      <c r="F67" s="182" t="s">
        <v>281</v>
      </c>
      <c r="G67" s="182"/>
      <c r="H67" s="182"/>
      <c r="I67" s="543"/>
      <c r="J67" s="543"/>
      <c r="K67" s="543"/>
      <c r="L67" s="543"/>
      <c r="M67" s="543"/>
      <c r="N67" s="543"/>
      <c r="O67" s="543"/>
      <c r="P67" s="543"/>
      <c r="Q67" s="543"/>
      <c r="R67" s="543"/>
    </row>
    <row r="68" spans="1:18" ht="3" customHeight="1" x14ac:dyDescent="0.25">
      <c r="A68" s="188"/>
      <c r="B68" s="182"/>
      <c r="C68" s="182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5">
      <c r="A69" s="188"/>
      <c r="B69" s="182" t="s">
        <v>282</v>
      </c>
      <c r="C69" s="182"/>
      <c r="F69" s="182" t="s">
        <v>283</v>
      </c>
      <c r="G69" s="182"/>
      <c r="H69" s="182"/>
      <c r="I69" s="543"/>
      <c r="J69" s="543"/>
      <c r="K69" s="543"/>
      <c r="L69" s="543"/>
      <c r="M69" s="543"/>
      <c r="N69" s="543"/>
      <c r="O69" s="543"/>
      <c r="P69" s="543"/>
      <c r="Q69" s="543"/>
      <c r="R69" s="543"/>
    </row>
    <row r="70" spans="1:18" ht="3" customHeight="1" x14ac:dyDescent="0.25">
      <c r="A70" s="188"/>
      <c r="B70" s="182"/>
      <c r="C70" s="182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5">
      <c r="A71" s="188">
        <v>15</v>
      </c>
      <c r="B71" s="182" t="s">
        <v>284</v>
      </c>
      <c r="C71" s="182"/>
      <c r="D71" s="545" t="str">
        <f>IF('PA 2'!L7&lt;100%,"Taux d'occupation "&amp;('PA 2'!L7+'PA 2'!L12)*100&amp;"%","")</f>
        <v>Taux d'occupation 0%</v>
      </c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</row>
    <row r="72" spans="1:18" ht="3" customHeight="1" x14ac:dyDescent="0.25">
      <c r="A72" s="188"/>
      <c r="B72" s="182"/>
      <c r="C72" s="182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x14ac:dyDescent="0.25">
      <c r="A73" s="188"/>
      <c r="B73" s="182" t="s">
        <v>285</v>
      </c>
      <c r="C73" s="182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</row>
    <row r="74" spans="1:18" ht="3" customHeight="1" x14ac:dyDescent="0.25">
      <c r="A74" s="188"/>
      <c r="B74" s="182"/>
      <c r="C74" s="182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x14ac:dyDescent="0.25">
      <c r="A75" s="188"/>
      <c r="B75" s="182" t="s">
        <v>286</v>
      </c>
      <c r="C75" s="182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</row>
    <row r="76" spans="1:18" x14ac:dyDescent="0.25">
      <c r="A76" s="188"/>
      <c r="B76" s="182"/>
      <c r="C76" s="182"/>
    </row>
    <row r="77" spans="1:18" x14ac:dyDescent="0.25">
      <c r="A77" s="188" t="s">
        <v>287</v>
      </c>
      <c r="B77" s="182" t="s">
        <v>288</v>
      </c>
      <c r="C77" s="182"/>
      <c r="F77" s="182" t="s">
        <v>289</v>
      </c>
      <c r="G77" s="182"/>
      <c r="M77" s="486">
        <f>'Attestation du salaire (ord.)'!A8:A8</f>
        <v>0</v>
      </c>
      <c r="N77" s="486"/>
      <c r="O77" s="486"/>
      <c r="P77" s="486"/>
      <c r="Q77" s="486"/>
      <c r="R77" s="486"/>
    </row>
    <row r="78" spans="1:18" ht="9" customHeight="1" x14ac:dyDescent="0.25">
      <c r="B78" s="182"/>
      <c r="C78" s="182"/>
      <c r="F78" s="184" t="s">
        <v>290</v>
      </c>
      <c r="G78" s="184"/>
      <c r="M78" s="214"/>
      <c r="N78" s="214"/>
      <c r="O78" s="214"/>
      <c r="P78" s="214"/>
      <c r="Q78" s="214"/>
      <c r="R78" s="214"/>
    </row>
    <row r="79" spans="1:18" x14ac:dyDescent="0.25">
      <c r="B79" s="182"/>
      <c r="C79" s="182"/>
      <c r="F79" s="182" t="s">
        <v>291</v>
      </c>
      <c r="G79" s="182"/>
      <c r="M79" s="486">
        <f>'Attestation du salaire (ord.)'!A9:A9</f>
        <v>0</v>
      </c>
      <c r="N79" s="486"/>
      <c r="O79" s="486"/>
      <c r="P79" s="486"/>
      <c r="Q79" s="486"/>
      <c r="R79" s="486"/>
    </row>
    <row r="80" spans="1:18" ht="9" customHeight="1" x14ac:dyDescent="0.25">
      <c r="B80" s="182"/>
      <c r="C80" s="182"/>
      <c r="F80" s="184" t="s">
        <v>292</v>
      </c>
      <c r="G80" s="184"/>
      <c r="M80" s="214"/>
      <c r="N80" s="214"/>
      <c r="O80" s="214"/>
      <c r="P80" s="214"/>
      <c r="Q80" s="214"/>
      <c r="R80" s="214"/>
    </row>
    <row r="81" spans="2:18" x14ac:dyDescent="0.25">
      <c r="B81" s="182"/>
      <c r="C81" s="182"/>
      <c r="F81" s="182" t="s">
        <v>293</v>
      </c>
      <c r="G81" s="182"/>
      <c r="M81" s="486">
        <f>'Attestation du salaire (ord.)'!A10:A10</f>
        <v>0</v>
      </c>
      <c r="N81" s="486"/>
      <c r="O81" s="486"/>
      <c r="P81" s="486"/>
      <c r="Q81" s="486"/>
      <c r="R81" s="486"/>
    </row>
    <row r="82" spans="2:18" ht="9" customHeight="1" x14ac:dyDescent="0.25">
      <c r="B82" s="182"/>
      <c r="C82" s="182"/>
      <c r="F82" s="184" t="s">
        <v>294</v>
      </c>
      <c r="G82" s="184"/>
      <c r="M82" s="215"/>
      <c r="N82" s="215"/>
      <c r="O82" s="215"/>
      <c r="P82" s="215"/>
      <c r="Q82" s="215"/>
      <c r="R82" s="215"/>
    </row>
    <row r="83" spans="2:18" x14ac:dyDescent="0.25">
      <c r="B83" s="182"/>
      <c r="C83" s="182"/>
      <c r="I83" s="182"/>
      <c r="M83" s="554" t="str">
        <f>'CS 1'!M83:R83</f>
        <v>Entrez le numéro de téléphone ici</v>
      </c>
      <c r="N83" s="554"/>
      <c r="O83" s="554"/>
      <c r="P83" s="554"/>
      <c r="Q83" s="554"/>
      <c r="R83" s="554"/>
    </row>
    <row r="84" spans="2:18" x14ac:dyDescent="0.25">
      <c r="B84" s="182"/>
      <c r="C84" s="182"/>
    </row>
  </sheetData>
  <sheetProtection algorithmName="SHA-512" hashValue="evINURGQ8uFoVGrfNJXfsPZ54HAK2mKB7GiIyAmZFxWS0NS4nr5YMR5Xwve7nOsbNjFyVctfdD4gnJygDgY3gg==" saltValue="Vshf8Df0KC4BPo7MTywGvw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2" bestFit="1" customWidth="1"/>
    <col min="2" max="2" width="3.28515625" style="183" customWidth="1"/>
    <col min="3" max="3" width="12" style="183" customWidth="1"/>
    <col min="4" max="4" width="7.42578125" style="183" customWidth="1"/>
    <col min="5" max="5" width="1.85546875" style="183" customWidth="1"/>
    <col min="6" max="6" width="10.28515625" style="183" customWidth="1"/>
    <col min="7" max="7" width="1.7109375" style="183" customWidth="1"/>
    <col min="8" max="9" width="5.7109375" style="183" customWidth="1"/>
    <col min="10" max="11" width="6.28515625" style="183" customWidth="1"/>
    <col min="12" max="12" width="4" style="183" customWidth="1"/>
    <col min="13" max="13" width="2.140625" style="183" bestFit="1" customWidth="1"/>
    <col min="14" max="14" width="2.7109375" style="183" customWidth="1"/>
    <col min="15" max="15" width="14.7109375" style="183" customWidth="1"/>
    <col min="16" max="16" width="2.7109375" style="183" customWidth="1"/>
    <col min="17" max="17" width="1.7109375" style="183" customWidth="1"/>
    <col min="18" max="18" width="14.140625" style="183" customWidth="1"/>
    <col min="19" max="16384" width="11.42578125" style="183"/>
  </cols>
  <sheetData>
    <row r="1" spans="1:18" ht="18.75" x14ac:dyDescent="0.4">
      <c r="A1" s="188" t="s">
        <v>208</v>
      </c>
      <c r="B1" s="420" t="s">
        <v>209</v>
      </c>
      <c r="C1" s="207" t="s">
        <v>210</v>
      </c>
    </row>
    <row r="2" spans="1:18" ht="3" customHeight="1" x14ac:dyDescent="0.4">
      <c r="A2" s="188"/>
      <c r="C2" s="207"/>
    </row>
    <row r="3" spans="1:18" ht="18.75" x14ac:dyDescent="0.4">
      <c r="A3" s="188" t="s">
        <v>211</v>
      </c>
      <c r="B3" s="421"/>
      <c r="C3" s="207" t="s">
        <v>212</v>
      </c>
    </row>
    <row r="4" spans="1:18" ht="9" customHeight="1" x14ac:dyDescent="0.25">
      <c r="A4" s="188"/>
      <c r="C4" s="192"/>
    </row>
    <row r="5" spans="1:18" ht="13.5" customHeight="1" x14ac:dyDescent="0.25">
      <c r="A5" s="188" t="s">
        <v>213</v>
      </c>
      <c r="B5" s="546" t="str">
        <f>IF('PA 3'!$F$6="","",'PA 3'!$F$6)</f>
        <v/>
      </c>
      <c r="C5" s="546"/>
      <c r="D5" s="546"/>
      <c r="E5" s="546"/>
      <c r="F5" s="546"/>
      <c r="H5" s="547" cm="1">
        <f t="array" ref="H5">'PA 3'!F7:F7</f>
        <v>0</v>
      </c>
      <c r="I5" s="547"/>
      <c r="J5" s="547"/>
      <c r="K5" s="547"/>
      <c r="M5" s="193" t="s">
        <v>214</v>
      </c>
      <c r="N5" s="421"/>
      <c r="O5" s="549" t="s">
        <v>215</v>
      </c>
      <c r="P5" s="549"/>
      <c r="Q5" s="549"/>
      <c r="R5" s="549"/>
    </row>
    <row r="6" spans="1:18" x14ac:dyDescent="0.25">
      <c r="A6" s="188"/>
      <c r="B6" s="187" t="s">
        <v>216</v>
      </c>
      <c r="C6" s="198"/>
      <c r="D6" s="187"/>
      <c r="E6" s="198"/>
      <c r="F6" s="187"/>
      <c r="G6" s="187"/>
      <c r="H6" s="187" t="s">
        <v>217</v>
      </c>
      <c r="M6" s="193"/>
      <c r="O6" s="549"/>
      <c r="P6" s="549"/>
      <c r="Q6" s="549"/>
      <c r="R6" s="549"/>
    </row>
    <row r="7" spans="1:18" ht="13.5" customHeight="1" x14ac:dyDescent="0.25">
      <c r="A7" s="188" t="s">
        <v>218</v>
      </c>
      <c r="B7" s="548">
        <f>'PA 3'!A21</f>
        <v>45657</v>
      </c>
      <c r="C7" s="548"/>
      <c r="E7" s="188" t="s">
        <v>219</v>
      </c>
      <c r="F7" s="422">
        <f>IF('PA 3'!$Q$37=0,0,IF('PA 3'!$C$14&lt;'PA 3'!$C$21,'PA 3'!$C$21,'PA 3'!$C$14))</f>
        <v>0</v>
      </c>
      <c r="G7" s="422"/>
      <c r="H7" s="1"/>
      <c r="I7" s="547">
        <f>IF('PA 3'!$Q$37=0,0,IF('PA 3'!$C$15&gt;0,'PA 3'!$C$15,B7))</f>
        <v>0</v>
      </c>
      <c r="J7" s="547"/>
      <c r="M7" s="193" t="s">
        <v>220</v>
      </c>
      <c r="N7" s="421"/>
      <c r="O7" s="549" t="s">
        <v>221</v>
      </c>
      <c r="P7" s="549"/>
      <c r="Q7" s="549"/>
      <c r="R7" s="549"/>
    </row>
    <row r="8" spans="1:18" x14ac:dyDescent="0.25">
      <c r="A8" s="188"/>
      <c r="B8" s="187" t="s">
        <v>222</v>
      </c>
      <c r="C8" s="187"/>
      <c r="D8" s="187"/>
      <c r="E8" s="187"/>
      <c r="F8" s="187" t="s">
        <v>223</v>
      </c>
      <c r="G8" s="187"/>
      <c r="H8" s="187"/>
      <c r="I8" s="187" t="s">
        <v>224</v>
      </c>
      <c r="M8" s="193"/>
      <c r="O8" s="549"/>
      <c r="P8" s="549"/>
      <c r="Q8" s="549"/>
      <c r="R8" s="549"/>
    </row>
    <row r="9" spans="1:18" x14ac:dyDescent="0.25">
      <c r="A9" s="188" t="s">
        <v>225</v>
      </c>
    </row>
    <row r="10" spans="1:18" x14ac:dyDescent="0.25">
      <c r="A10" s="188"/>
    </row>
    <row r="11" spans="1:18" x14ac:dyDescent="0.25">
      <c r="A11" s="188"/>
      <c r="L11" s="1" t="str">
        <f>CONCATENATE('PA 3'!C6:C6," ",'PA 3'!C7:C7)</f>
        <v xml:space="preserve"> </v>
      </c>
    </row>
    <row r="12" spans="1:18" x14ac:dyDescent="0.25">
      <c r="A12" s="188"/>
      <c r="L12" s="1">
        <f>'PA 3'!C8:C8</f>
        <v>0</v>
      </c>
    </row>
    <row r="13" spans="1:18" x14ac:dyDescent="0.25">
      <c r="A13" s="188"/>
      <c r="L13" s="1">
        <f>'PA 3'!C9:C9</f>
        <v>0</v>
      </c>
    </row>
    <row r="14" spans="1:18" x14ac:dyDescent="0.25">
      <c r="A14" s="188"/>
    </row>
    <row r="15" spans="1:18" x14ac:dyDescent="0.25">
      <c r="A15" s="188"/>
    </row>
    <row r="16" spans="1:18" x14ac:dyDescent="0.25">
      <c r="A16" s="188"/>
    </row>
    <row r="17" spans="1:18" x14ac:dyDescent="0.25">
      <c r="A17" s="188"/>
    </row>
    <row r="18" spans="1:18" ht="13.5" customHeight="1" x14ac:dyDescent="0.25">
      <c r="A18" s="188"/>
      <c r="R18" s="550" t="s">
        <v>226</v>
      </c>
    </row>
    <row r="19" spans="1:18" x14ac:dyDescent="0.25">
      <c r="A19" s="188">
        <v>1</v>
      </c>
      <c r="B19" s="182" t="s">
        <v>227</v>
      </c>
      <c r="C19" s="182"/>
      <c r="D19" s="182" t="s">
        <v>228</v>
      </c>
      <c r="E19" s="182"/>
      <c r="F19" s="182"/>
      <c r="G19" s="182"/>
      <c r="H19" s="182"/>
      <c r="I19" s="182"/>
      <c r="J19" s="186" t="s">
        <v>229</v>
      </c>
      <c r="K19" s="186"/>
      <c r="L19" s="182"/>
      <c r="M19" s="182"/>
      <c r="N19" s="182"/>
      <c r="Q19" s="206"/>
      <c r="R19" s="550"/>
    </row>
    <row r="20" spans="1:18" x14ac:dyDescent="0.25">
      <c r="A20" s="188"/>
      <c r="B20" s="182" t="s">
        <v>230</v>
      </c>
      <c r="C20" s="182"/>
      <c r="D20" s="182" t="s">
        <v>231</v>
      </c>
      <c r="E20" s="182"/>
      <c r="F20" s="182"/>
      <c r="G20" s="182"/>
      <c r="H20" s="182"/>
      <c r="I20" s="182"/>
      <c r="J20" s="186" t="s">
        <v>229</v>
      </c>
      <c r="K20" s="186"/>
      <c r="L20" s="182"/>
      <c r="M20" s="182"/>
      <c r="N20" s="182"/>
      <c r="Q20" s="206"/>
      <c r="R20" s="550"/>
    </row>
    <row r="21" spans="1:18" x14ac:dyDescent="0.25">
      <c r="A21" s="188"/>
      <c r="B21" s="194" t="s">
        <v>232</v>
      </c>
      <c r="C21" s="194"/>
      <c r="D21" s="194" t="s">
        <v>233</v>
      </c>
      <c r="E21" s="194"/>
      <c r="F21" s="194"/>
      <c r="G21" s="194"/>
      <c r="H21" s="194"/>
      <c r="I21" s="194"/>
      <c r="J21" s="195" t="s">
        <v>234</v>
      </c>
      <c r="K21" s="195"/>
      <c r="L21" s="194"/>
      <c r="M21" s="194"/>
      <c r="N21" s="194"/>
      <c r="O21" s="196"/>
      <c r="P21" s="196"/>
      <c r="R21" s="423">
        <f>'PA 3'!Q37-'PA 3'!Q31</f>
        <v>0</v>
      </c>
    </row>
    <row r="22" spans="1:18" ht="3" customHeight="1" x14ac:dyDescent="0.25">
      <c r="A22" s="188"/>
      <c r="B22" s="182"/>
      <c r="C22" s="182"/>
      <c r="D22" s="182"/>
      <c r="E22" s="182"/>
      <c r="F22" s="199"/>
      <c r="G22" s="199"/>
      <c r="H22" s="199"/>
      <c r="I22" s="199"/>
      <c r="J22" s="200"/>
      <c r="K22" s="200"/>
      <c r="L22" s="199"/>
      <c r="M22" s="199"/>
      <c r="N22" s="199"/>
      <c r="O22" s="201"/>
      <c r="P22" s="201"/>
      <c r="R22" s="208"/>
    </row>
    <row r="23" spans="1:18" x14ac:dyDescent="0.25">
      <c r="A23" s="188">
        <v>2</v>
      </c>
      <c r="B23" s="182" t="s">
        <v>235</v>
      </c>
      <c r="C23" s="182"/>
      <c r="D23" s="182"/>
      <c r="E23" s="182"/>
      <c r="F23" s="194" t="s">
        <v>296</v>
      </c>
      <c r="G23" s="194"/>
      <c r="H23" s="194"/>
      <c r="I23" s="196"/>
      <c r="J23" s="194"/>
      <c r="K23" s="194"/>
      <c r="L23" s="194"/>
      <c r="M23" s="194"/>
      <c r="N23" s="194"/>
      <c r="O23" s="196"/>
      <c r="P23" s="196"/>
      <c r="Q23" s="185" t="s">
        <v>237</v>
      </c>
      <c r="R23" s="424">
        <f>'PA 3'!Q31</f>
        <v>0</v>
      </c>
    </row>
    <row r="24" spans="1:18" ht="3" customHeight="1" x14ac:dyDescent="0.25">
      <c r="A24" s="188"/>
      <c r="B24" s="182"/>
      <c r="C24" s="182"/>
      <c r="D24" s="182"/>
      <c r="E24" s="182"/>
      <c r="F24" s="199"/>
      <c r="G24" s="199"/>
      <c r="H24" s="199"/>
      <c r="I24" s="201"/>
      <c r="J24" s="199"/>
      <c r="K24" s="199"/>
      <c r="L24" s="199"/>
      <c r="M24" s="199"/>
      <c r="N24" s="199"/>
      <c r="O24" s="201"/>
      <c r="P24" s="201"/>
      <c r="Q24" s="185"/>
      <c r="R24" s="208"/>
    </row>
    <row r="25" spans="1:18" x14ac:dyDescent="0.25">
      <c r="A25" s="188"/>
      <c r="B25" s="182" t="s">
        <v>238</v>
      </c>
      <c r="C25" s="182"/>
      <c r="D25" s="182"/>
      <c r="E25" s="182"/>
      <c r="F25" s="194" t="s">
        <v>297</v>
      </c>
      <c r="G25" s="194"/>
      <c r="H25" s="194"/>
      <c r="I25" s="194"/>
      <c r="J25" s="194"/>
      <c r="K25" s="194"/>
      <c r="L25" s="194"/>
      <c r="M25" s="194"/>
      <c r="N25" s="194"/>
      <c r="O25" s="196"/>
      <c r="P25" s="196"/>
      <c r="Q25" s="185" t="s">
        <v>237</v>
      </c>
      <c r="R25" s="424"/>
    </row>
    <row r="26" spans="1:18" ht="3" customHeight="1" x14ac:dyDescent="0.25">
      <c r="A26" s="1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Q26" s="185"/>
      <c r="R26" s="209"/>
    </row>
    <row r="27" spans="1:18" x14ac:dyDescent="0.25">
      <c r="A27" s="188"/>
      <c r="B27" s="182" t="s">
        <v>240</v>
      </c>
      <c r="C27" s="182"/>
      <c r="D27" s="182"/>
      <c r="E27" s="182"/>
      <c r="F27" s="182" t="s">
        <v>298</v>
      </c>
      <c r="G27" s="182"/>
      <c r="H27" s="182"/>
      <c r="I27" s="182"/>
      <c r="J27" s="542"/>
      <c r="K27" s="542"/>
      <c r="L27" s="542"/>
      <c r="M27" s="542"/>
      <c r="N27" s="542"/>
      <c r="O27" s="542"/>
      <c r="P27" s="542"/>
      <c r="Q27" s="185" t="s">
        <v>237</v>
      </c>
      <c r="R27" s="424"/>
    </row>
    <row r="28" spans="1:18" ht="9.75" customHeight="1" x14ac:dyDescent="0.25">
      <c r="A28" s="188"/>
      <c r="B28" s="182"/>
      <c r="C28" s="182"/>
      <c r="D28" s="182"/>
      <c r="E28" s="182"/>
      <c r="F28" s="184" t="s">
        <v>242</v>
      </c>
      <c r="G28" s="184"/>
      <c r="H28" s="184"/>
      <c r="I28" s="182"/>
      <c r="J28" s="182"/>
      <c r="K28" s="182"/>
      <c r="L28" s="182"/>
      <c r="M28" s="182"/>
      <c r="N28" s="182"/>
      <c r="R28" s="210"/>
    </row>
    <row r="29" spans="1:18" x14ac:dyDescent="0.25">
      <c r="A29" s="188">
        <v>3</v>
      </c>
      <c r="B29" s="182" t="s">
        <v>243</v>
      </c>
      <c r="C29" s="182"/>
      <c r="D29" s="182"/>
      <c r="E29" s="182"/>
      <c r="F29" s="182"/>
      <c r="G29" s="182"/>
      <c r="H29" s="182"/>
      <c r="I29" s="182"/>
      <c r="J29" s="182"/>
      <c r="K29" s="184" t="s">
        <v>242</v>
      </c>
      <c r="M29" s="182"/>
      <c r="N29" s="182"/>
      <c r="Q29" s="185" t="s">
        <v>237</v>
      </c>
      <c r="R29" s="210"/>
    </row>
    <row r="30" spans="1:18" x14ac:dyDescent="0.25">
      <c r="A30" s="188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R30" s="424"/>
    </row>
    <row r="31" spans="1:18" ht="3" customHeight="1" x14ac:dyDescent="0.25">
      <c r="A31" s="18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R31" s="208"/>
    </row>
    <row r="32" spans="1:18" x14ac:dyDescent="0.25">
      <c r="A32" s="188">
        <v>4</v>
      </c>
      <c r="B32" s="182" t="s">
        <v>244</v>
      </c>
      <c r="C32" s="182"/>
      <c r="D32" s="182"/>
      <c r="E32" s="182"/>
      <c r="F32" s="182"/>
      <c r="G32" s="182"/>
      <c r="H32" s="182"/>
      <c r="I32" s="542"/>
      <c r="J32" s="542"/>
      <c r="K32" s="542"/>
      <c r="L32" s="542"/>
      <c r="M32" s="542"/>
      <c r="N32" s="542"/>
      <c r="O32" s="542"/>
      <c r="P32" s="542"/>
      <c r="Q32" s="185" t="s">
        <v>237</v>
      </c>
      <c r="R32" s="424"/>
    </row>
    <row r="33" spans="1:18" ht="9" customHeight="1" x14ac:dyDescent="0.25">
      <c r="A33" s="188"/>
      <c r="B33" s="184" t="s">
        <v>242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R33" s="210"/>
    </row>
    <row r="34" spans="1:18" x14ac:dyDescent="0.25">
      <c r="A34" s="188">
        <v>5</v>
      </c>
      <c r="B34" s="194" t="s">
        <v>245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6"/>
      <c r="P34" s="196"/>
      <c r="Q34" s="185" t="s">
        <v>237</v>
      </c>
      <c r="R34" s="424"/>
    </row>
    <row r="35" spans="1:18" ht="3" customHeight="1" x14ac:dyDescent="0.25">
      <c r="A35" s="18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Q35" s="185"/>
      <c r="R35" s="209"/>
    </row>
    <row r="36" spans="1:18" x14ac:dyDescent="0.25">
      <c r="A36" s="188">
        <v>6</v>
      </c>
      <c r="B36" s="194" t="s">
        <v>246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6"/>
      <c r="P36" s="196"/>
      <c r="Q36" s="185" t="s">
        <v>237</v>
      </c>
      <c r="R36" s="424"/>
    </row>
    <row r="37" spans="1:18" ht="3" customHeight="1" x14ac:dyDescent="0.25">
      <c r="A37" s="18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Q37" s="185"/>
      <c r="R37" s="209"/>
    </row>
    <row r="38" spans="1:18" x14ac:dyDescent="0.25">
      <c r="A38" s="188">
        <v>7</v>
      </c>
      <c r="B38" s="182" t="s">
        <v>247</v>
      </c>
      <c r="C38" s="182"/>
      <c r="D38" s="182"/>
      <c r="E38" s="182"/>
      <c r="F38" s="182"/>
      <c r="G38" s="182"/>
      <c r="H38" s="182"/>
      <c r="I38" s="542"/>
      <c r="J38" s="542"/>
      <c r="K38" s="542"/>
      <c r="L38" s="542"/>
      <c r="M38" s="542"/>
      <c r="N38" s="542"/>
      <c r="O38" s="542"/>
      <c r="P38" s="542"/>
      <c r="Q38" s="185" t="s">
        <v>237</v>
      </c>
      <c r="R38" s="424"/>
    </row>
    <row r="39" spans="1:18" ht="9" customHeight="1" x14ac:dyDescent="0.25">
      <c r="A39" s="188"/>
      <c r="B39" s="184" t="s">
        <v>242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R39" s="210"/>
    </row>
    <row r="40" spans="1:18" x14ac:dyDescent="0.25">
      <c r="A40" s="188">
        <v>8</v>
      </c>
      <c r="B40" s="194" t="s">
        <v>248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6"/>
      <c r="P40" s="196"/>
      <c r="Q40" s="185" t="s">
        <v>249</v>
      </c>
      <c r="R40" s="424">
        <f>SUM(R21:R39)</f>
        <v>0</v>
      </c>
    </row>
    <row r="41" spans="1:18" ht="3" customHeight="1" x14ac:dyDescent="0.25">
      <c r="A41" s="18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Q41" s="185"/>
      <c r="R41" s="209"/>
    </row>
    <row r="42" spans="1:18" x14ac:dyDescent="0.25">
      <c r="A42" s="188">
        <v>9</v>
      </c>
      <c r="B42" s="194" t="s">
        <v>250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6"/>
      <c r="P42" s="196"/>
      <c r="Q42" s="185" t="s">
        <v>36</v>
      </c>
      <c r="R42" s="424">
        <f>('PA 3'!Q40+'PA 3'!Q41+'PA 3'!Q42)*-1</f>
        <v>0</v>
      </c>
    </row>
    <row r="43" spans="1:18" ht="3" customHeight="1" x14ac:dyDescent="0.25">
      <c r="A43" s="188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Q43" s="185"/>
      <c r="R43" s="209"/>
    </row>
    <row r="44" spans="1:18" x14ac:dyDescent="0.25">
      <c r="A44" s="188">
        <v>10</v>
      </c>
      <c r="B44" s="182" t="s">
        <v>251</v>
      </c>
      <c r="C44" s="182"/>
      <c r="D44" s="182"/>
      <c r="E44" s="182" t="s">
        <v>252</v>
      </c>
      <c r="F44" s="182"/>
      <c r="G44" s="182"/>
      <c r="H44" s="194" t="s">
        <v>299</v>
      </c>
      <c r="I44" s="196"/>
      <c r="J44" s="194"/>
      <c r="K44" s="194"/>
      <c r="L44" s="194"/>
      <c r="M44" s="194"/>
      <c r="N44" s="194"/>
      <c r="O44" s="196"/>
      <c r="P44" s="196"/>
      <c r="Q44" s="185" t="s">
        <v>36</v>
      </c>
      <c r="R44" s="424">
        <f>'PA 3'!Q44*-1</f>
        <v>0</v>
      </c>
    </row>
    <row r="45" spans="1:18" x14ac:dyDescent="0.25">
      <c r="A45" s="188"/>
      <c r="B45" s="182" t="s">
        <v>254</v>
      </c>
      <c r="C45" s="182"/>
      <c r="D45" s="182"/>
      <c r="E45" s="182" t="s">
        <v>300</v>
      </c>
      <c r="F45" s="182"/>
      <c r="G45" s="182"/>
      <c r="H45" s="182"/>
      <c r="J45" s="182"/>
      <c r="K45" s="182"/>
      <c r="L45" s="182"/>
      <c r="M45" s="182"/>
      <c r="N45" s="182"/>
      <c r="R45" s="210"/>
    </row>
    <row r="46" spans="1:18" x14ac:dyDescent="0.25">
      <c r="A46" s="188"/>
      <c r="B46" s="182" t="s">
        <v>256</v>
      </c>
      <c r="C46" s="182"/>
      <c r="E46" s="182" t="s">
        <v>301</v>
      </c>
      <c r="H46" s="194" t="s">
        <v>302</v>
      </c>
      <c r="I46" s="196"/>
      <c r="J46" s="196"/>
      <c r="K46" s="196"/>
      <c r="L46" s="196"/>
      <c r="M46" s="196"/>
      <c r="N46" s="196"/>
      <c r="O46" s="196"/>
      <c r="P46" s="196"/>
      <c r="Q46" s="185" t="s">
        <v>36</v>
      </c>
      <c r="R46" s="424"/>
    </row>
    <row r="47" spans="1:18" ht="3" customHeight="1" x14ac:dyDescent="0.25">
      <c r="A47" s="188"/>
      <c r="B47" s="182"/>
      <c r="C47" s="182"/>
      <c r="E47" s="182"/>
      <c r="H47" s="182"/>
      <c r="Q47" s="185"/>
      <c r="R47" s="209"/>
    </row>
    <row r="48" spans="1:18" x14ac:dyDescent="0.25">
      <c r="A48" s="188">
        <v>11</v>
      </c>
      <c r="B48" s="197" t="s">
        <v>259</v>
      </c>
      <c r="C48" s="194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85" t="s">
        <v>249</v>
      </c>
      <c r="R48" s="424">
        <f>R40-SUM(R42:R46)</f>
        <v>0</v>
      </c>
    </row>
    <row r="49" spans="1:18" ht="9" customHeight="1" x14ac:dyDescent="0.25">
      <c r="A49" s="188"/>
      <c r="B49" s="189" t="s">
        <v>260</v>
      </c>
      <c r="C49" s="182"/>
      <c r="R49" s="210"/>
    </row>
    <row r="50" spans="1:18" x14ac:dyDescent="0.25">
      <c r="A50" s="188">
        <v>12</v>
      </c>
      <c r="B50" s="194" t="s">
        <v>261</v>
      </c>
      <c r="C50" s="194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R50" s="424">
        <f>'PA 3'!Q46*-1</f>
        <v>0</v>
      </c>
    </row>
    <row r="51" spans="1:18" x14ac:dyDescent="0.25">
      <c r="A51" s="188">
        <v>13</v>
      </c>
      <c r="B51" s="182" t="s">
        <v>262</v>
      </c>
      <c r="C51" s="182"/>
      <c r="R51" s="211"/>
    </row>
    <row r="52" spans="1:18" ht="9" customHeight="1" x14ac:dyDescent="0.25">
      <c r="B52" s="184" t="s">
        <v>263</v>
      </c>
      <c r="R52" s="211"/>
    </row>
    <row r="53" spans="1:18" ht="13.5" customHeight="1" x14ac:dyDescent="0.25">
      <c r="A53" s="551">
        <v>13.1</v>
      </c>
      <c r="B53" s="551"/>
      <c r="C53" s="553" t="s">
        <v>264</v>
      </c>
      <c r="D53" s="190" t="s">
        <v>265</v>
      </c>
      <c r="E53" s="194" t="s">
        <v>266</v>
      </c>
      <c r="F53" s="194"/>
      <c r="G53" s="194"/>
      <c r="H53" s="194"/>
      <c r="I53" s="196"/>
      <c r="J53" s="196"/>
      <c r="K53" s="196"/>
      <c r="L53" s="196"/>
      <c r="M53" s="196"/>
      <c r="N53" s="196"/>
      <c r="O53" s="196"/>
      <c r="P53" s="420" t="s">
        <v>209</v>
      </c>
      <c r="R53" s="426"/>
    </row>
    <row r="54" spans="1:18" ht="3" customHeight="1" x14ac:dyDescent="0.25">
      <c r="A54" s="203"/>
      <c r="B54" s="203"/>
      <c r="C54" s="553"/>
      <c r="D54" s="190"/>
      <c r="E54" s="182"/>
      <c r="F54" s="182"/>
      <c r="G54" s="182"/>
      <c r="H54" s="182"/>
      <c r="R54" s="212"/>
    </row>
    <row r="55" spans="1:18" x14ac:dyDescent="0.25">
      <c r="A55" s="188"/>
      <c r="B55" s="188"/>
      <c r="C55" s="553"/>
      <c r="D55" s="191" t="s">
        <v>267</v>
      </c>
      <c r="E55" s="182" t="s">
        <v>268</v>
      </c>
      <c r="F55" s="182"/>
      <c r="G55" s="182"/>
      <c r="H55" s="182"/>
      <c r="I55" s="543"/>
      <c r="J55" s="543"/>
      <c r="K55" s="543"/>
      <c r="L55" s="543"/>
      <c r="M55" s="543"/>
      <c r="N55" s="543"/>
      <c r="O55" s="543"/>
      <c r="P55" s="543"/>
      <c r="R55" s="426"/>
    </row>
    <row r="56" spans="1:18" ht="9" customHeight="1" x14ac:dyDescent="0.25">
      <c r="A56" s="188"/>
      <c r="B56" s="188"/>
      <c r="C56" s="553"/>
      <c r="D56" s="192"/>
      <c r="E56" s="187" t="s">
        <v>242</v>
      </c>
      <c r="R56" s="211"/>
    </row>
    <row r="57" spans="1:18" x14ac:dyDescent="0.25">
      <c r="A57" s="552">
        <v>13.2</v>
      </c>
      <c r="B57" s="552"/>
      <c r="C57" s="182" t="s">
        <v>269</v>
      </c>
      <c r="D57" s="191" t="s">
        <v>270</v>
      </c>
      <c r="E57" s="194" t="s">
        <v>271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R57" s="426"/>
    </row>
    <row r="58" spans="1:18" ht="3" customHeight="1" x14ac:dyDescent="0.25">
      <c r="A58" s="204"/>
      <c r="B58" s="204"/>
      <c r="C58" s="182"/>
      <c r="D58" s="191"/>
      <c r="E58" s="182"/>
      <c r="R58" s="213"/>
    </row>
    <row r="59" spans="1:18" x14ac:dyDescent="0.25">
      <c r="A59" s="188"/>
      <c r="B59" s="188"/>
      <c r="C59" s="182" t="s">
        <v>272</v>
      </c>
      <c r="D59" s="191" t="s">
        <v>273</v>
      </c>
      <c r="E59" s="194" t="s">
        <v>274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R59" s="426"/>
    </row>
    <row r="60" spans="1:18" ht="3" customHeight="1" x14ac:dyDescent="0.25">
      <c r="A60" s="188"/>
      <c r="B60" s="188"/>
      <c r="C60" s="182"/>
      <c r="D60" s="191"/>
      <c r="E60" s="182"/>
      <c r="I60" s="201"/>
      <c r="J60" s="201"/>
      <c r="K60" s="201"/>
      <c r="L60" s="201"/>
      <c r="M60" s="201"/>
      <c r="N60" s="201"/>
      <c r="O60" s="201"/>
      <c r="P60" s="201"/>
      <c r="R60" s="213"/>
    </row>
    <row r="61" spans="1:18" x14ac:dyDescent="0.25">
      <c r="A61" s="188"/>
      <c r="B61" s="188"/>
      <c r="C61" s="182" t="s">
        <v>275</v>
      </c>
      <c r="D61" s="191" t="s">
        <v>276</v>
      </c>
      <c r="E61" s="182" t="s">
        <v>268</v>
      </c>
      <c r="I61" s="543"/>
      <c r="J61" s="543"/>
      <c r="K61" s="543"/>
      <c r="L61" s="543"/>
      <c r="M61" s="543"/>
      <c r="N61" s="543"/>
      <c r="O61" s="543"/>
      <c r="P61" s="543"/>
      <c r="R61" s="426"/>
    </row>
    <row r="62" spans="1:18" ht="9" customHeight="1" x14ac:dyDescent="0.25">
      <c r="B62" s="182"/>
      <c r="C62" s="182"/>
      <c r="E62" s="187" t="s">
        <v>242</v>
      </c>
      <c r="R62" s="211"/>
    </row>
    <row r="63" spans="1:18" x14ac:dyDescent="0.25">
      <c r="A63" s="551">
        <v>13.3</v>
      </c>
      <c r="B63" s="551"/>
      <c r="C63" s="194" t="s">
        <v>277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R63" s="426"/>
    </row>
    <row r="64" spans="1:18" ht="3" customHeight="1" x14ac:dyDescent="0.25">
      <c r="A64" s="203"/>
      <c r="B64" s="203"/>
      <c r="C64" s="182"/>
    </row>
    <row r="65" spans="1:18" x14ac:dyDescent="0.25">
      <c r="A65" s="188">
        <v>14</v>
      </c>
      <c r="B65" s="182" t="s">
        <v>278</v>
      </c>
      <c r="C65" s="182"/>
      <c r="F65" s="182" t="s">
        <v>279</v>
      </c>
      <c r="G65" s="182"/>
      <c r="H65" s="182"/>
      <c r="I65" s="543"/>
      <c r="J65" s="543"/>
      <c r="K65" s="543"/>
      <c r="L65" s="543"/>
      <c r="M65" s="543"/>
      <c r="N65" s="543"/>
      <c r="O65" s="543"/>
      <c r="P65" s="543"/>
      <c r="Q65" s="543"/>
      <c r="R65" s="543"/>
    </row>
    <row r="66" spans="1:18" ht="3" customHeight="1" x14ac:dyDescent="0.25">
      <c r="A66" s="188"/>
      <c r="B66" s="182"/>
      <c r="C66" s="182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5">
      <c r="A67" s="188"/>
      <c r="B67" s="182" t="s">
        <v>280</v>
      </c>
      <c r="C67" s="182"/>
      <c r="F67" s="182" t="s">
        <v>281</v>
      </c>
      <c r="G67" s="182"/>
      <c r="H67" s="182"/>
      <c r="I67" s="543"/>
      <c r="J67" s="543"/>
      <c r="K67" s="543"/>
      <c r="L67" s="543"/>
      <c r="M67" s="543"/>
      <c r="N67" s="543"/>
      <c r="O67" s="543"/>
      <c r="P67" s="543"/>
      <c r="Q67" s="543"/>
      <c r="R67" s="543"/>
    </row>
    <row r="68" spans="1:18" ht="3" customHeight="1" x14ac:dyDescent="0.25">
      <c r="A68" s="188"/>
      <c r="B68" s="182"/>
      <c r="C68" s="182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5">
      <c r="A69" s="188"/>
      <c r="B69" s="182" t="s">
        <v>282</v>
      </c>
      <c r="C69" s="182"/>
      <c r="F69" s="182" t="s">
        <v>283</v>
      </c>
      <c r="G69" s="182"/>
      <c r="H69" s="182"/>
      <c r="I69" s="543"/>
      <c r="J69" s="543"/>
      <c r="K69" s="543"/>
      <c r="L69" s="543"/>
      <c r="M69" s="543"/>
      <c r="N69" s="543"/>
      <c r="O69" s="543"/>
      <c r="P69" s="543"/>
      <c r="Q69" s="543"/>
      <c r="R69" s="543"/>
    </row>
    <row r="70" spans="1:18" ht="3" customHeight="1" x14ac:dyDescent="0.25">
      <c r="A70" s="188"/>
      <c r="B70" s="182"/>
      <c r="C70" s="182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5">
      <c r="A71" s="188">
        <v>15</v>
      </c>
      <c r="B71" s="182" t="s">
        <v>284</v>
      </c>
      <c r="C71" s="182"/>
      <c r="D71" s="545" t="str">
        <f>IF('PA 3'!L7&lt;100%,"Taux d'occupation "&amp;('PA 3'!L7+'PA 3'!L12)*100&amp;"%","")</f>
        <v>Taux d'occupation 0%</v>
      </c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</row>
    <row r="72" spans="1:18" ht="3" customHeight="1" x14ac:dyDescent="0.25">
      <c r="A72" s="188"/>
      <c r="B72" s="182"/>
      <c r="C72" s="182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x14ac:dyDescent="0.25">
      <c r="A73" s="188"/>
      <c r="B73" s="182" t="s">
        <v>285</v>
      </c>
      <c r="C73" s="182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</row>
    <row r="74" spans="1:18" ht="3" customHeight="1" x14ac:dyDescent="0.25">
      <c r="A74" s="188"/>
      <c r="B74" s="182"/>
      <c r="C74" s="182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x14ac:dyDescent="0.25">
      <c r="A75" s="188"/>
      <c r="B75" s="182" t="s">
        <v>286</v>
      </c>
      <c r="C75" s="182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</row>
    <row r="76" spans="1:18" x14ac:dyDescent="0.25">
      <c r="A76" s="188"/>
      <c r="B76" s="182"/>
      <c r="C76" s="182"/>
    </row>
    <row r="77" spans="1:18" x14ac:dyDescent="0.25">
      <c r="A77" s="188" t="s">
        <v>287</v>
      </c>
      <c r="B77" s="182" t="s">
        <v>288</v>
      </c>
      <c r="C77" s="182"/>
      <c r="F77" s="182" t="s">
        <v>289</v>
      </c>
      <c r="G77" s="182"/>
      <c r="M77" s="554">
        <f>'Attestation du salaire (ord.)'!A8:A8</f>
        <v>0</v>
      </c>
      <c r="N77" s="554"/>
      <c r="O77" s="554"/>
      <c r="P77" s="554"/>
      <c r="Q77" s="554"/>
      <c r="R77" s="554"/>
    </row>
    <row r="78" spans="1:18" ht="9" customHeight="1" x14ac:dyDescent="0.25">
      <c r="B78" s="182"/>
      <c r="C78" s="182"/>
      <c r="F78" s="184" t="s">
        <v>290</v>
      </c>
      <c r="G78" s="184"/>
      <c r="M78" s="214"/>
      <c r="N78" s="214"/>
      <c r="O78" s="214"/>
      <c r="P78" s="214"/>
      <c r="Q78" s="214"/>
      <c r="R78" s="214"/>
    </row>
    <row r="79" spans="1:18" ht="13.5" customHeight="1" x14ac:dyDescent="0.25">
      <c r="B79" s="182"/>
      <c r="C79" s="182"/>
      <c r="F79" s="182" t="s">
        <v>291</v>
      </c>
      <c r="G79" s="182"/>
      <c r="M79" s="554">
        <f>'Attestation du salaire (ord.)'!A9:A9</f>
        <v>0</v>
      </c>
      <c r="N79" s="554"/>
      <c r="O79" s="554"/>
      <c r="P79" s="554"/>
      <c r="Q79" s="554"/>
      <c r="R79" s="554"/>
    </row>
    <row r="80" spans="1:18" ht="9" customHeight="1" x14ac:dyDescent="0.25">
      <c r="B80" s="182"/>
      <c r="C80" s="182"/>
      <c r="F80" s="184" t="s">
        <v>292</v>
      </c>
      <c r="G80" s="184"/>
      <c r="M80" s="214"/>
      <c r="N80" s="214"/>
      <c r="O80" s="214"/>
      <c r="P80" s="214"/>
      <c r="Q80" s="214"/>
      <c r="R80" s="214"/>
    </row>
    <row r="81" spans="2:18" ht="13.5" customHeight="1" x14ac:dyDescent="0.25">
      <c r="B81" s="182"/>
      <c r="C81" s="182"/>
      <c r="F81" s="182" t="s">
        <v>293</v>
      </c>
      <c r="G81" s="182"/>
      <c r="M81" s="554">
        <f>'Attestation du salaire (ord.)'!A10:A10</f>
        <v>0</v>
      </c>
      <c r="N81" s="554"/>
      <c r="O81" s="554"/>
      <c r="P81" s="554"/>
      <c r="Q81" s="554"/>
      <c r="R81" s="554"/>
    </row>
    <row r="82" spans="2:18" ht="9" customHeight="1" x14ac:dyDescent="0.25">
      <c r="B82" s="182"/>
      <c r="C82" s="182"/>
      <c r="F82" s="184" t="s">
        <v>294</v>
      </c>
      <c r="G82" s="184"/>
      <c r="M82" s="215"/>
      <c r="N82" s="215"/>
      <c r="O82" s="215"/>
      <c r="P82" s="215"/>
      <c r="Q82" s="215"/>
      <c r="R82" s="215"/>
    </row>
    <row r="83" spans="2:18" ht="13.5" customHeight="1" x14ac:dyDescent="0.25">
      <c r="B83" s="182"/>
      <c r="C83" s="182"/>
      <c r="I83" s="182"/>
      <c r="M83" s="554" t="str">
        <f>'CS 1'!M83:R83</f>
        <v>Entrez le numéro de téléphone ici</v>
      </c>
      <c r="N83" s="554"/>
      <c r="O83" s="554"/>
      <c r="P83" s="554"/>
      <c r="Q83" s="554"/>
      <c r="R83" s="554"/>
    </row>
    <row r="84" spans="2:18" x14ac:dyDescent="0.25">
      <c r="B84" s="182"/>
      <c r="C84" s="182"/>
    </row>
  </sheetData>
  <sheetProtection algorithmName="SHA-512" hashValue="OKiytTkxUDwP1tD3mnJ/w/N8Dr0bRb0CGM9/nMQZHPmV3jUM7HxweHpn5hcx72UgeWx4FNYh/1w/CJBtvOM8NA==" saltValue="uo9SxONCgcOIIXl6fwuJrw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2" bestFit="1" customWidth="1"/>
    <col min="2" max="2" width="3.28515625" style="183" customWidth="1"/>
    <col min="3" max="3" width="12" style="183" customWidth="1"/>
    <col min="4" max="4" width="7.42578125" style="183" customWidth="1"/>
    <col min="5" max="5" width="1.85546875" style="183" customWidth="1"/>
    <col min="6" max="6" width="10.28515625" style="183" customWidth="1"/>
    <col min="7" max="7" width="1.7109375" style="183" customWidth="1"/>
    <col min="8" max="9" width="5.7109375" style="183" customWidth="1"/>
    <col min="10" max="11" width="6.28515625" style="183" customWidth="1"/>
    <col min="12" max="12" width="4" style="183" customWidth="1"/>
    <col min="13" max="13" width="2.140625" style="183" bestFit="1" customWidth="1"/>
    <col min="14" max="14" width="2.7109375" style="183" customWidth="1"/>
    <col min="15" max="15" width="14.7109375" style="183" customWidth="1"/>
    <col min="16" max="16" width="2.7109375" style="183" customWidth="1"/>
    <col min="17" max="17" width="1.7109375" style="183" customWidth="1"/>
    <col min="18" max="18" width="14.140625" style="183" customWidth="1"/>
    <col min="19" max="16384" width="11.42578125" style="183"/>
  </cols>
  <sheetData>
    <row r="1" spans="1:18" ht="18.75" x14ac:dyDescent="0.4">
      <c r="A1" s="188" t="s">
        <v>208</v>
      </c>
      <c r="B1" s="420" t="s">
        <v>209</v>
      </c>
      <c r="C1" s="207" t="s">
        <v>210</v>
      </c>
    </row>
    <row r="2" spans="1:18" ht="3" customHeight="1" x14ac:dyDescent="0.4">
      <c r="A2" s="188"/>
      <c r="C2" s="207"/>
    </row>
    <row r="3" spans="1:18" ht="18.75" x14ac:dyDescent="0.4">
      <c r="A3" s="188" t="s">
        <v>211</v>
      </c>
      <c r="B3" s="421"/>
      <c r="C3" s="207" t="s">
        <v>212</v>
      </c>
    </row>
    <row r="4" spans="1:18" ht="9" customHeight="1" x14ac:dyDescent="0.25">
      <c r="A4" s="188"/>
      <c r="C4" s="192"/>
    </row>
    <row r="5" spans="1:18" ht="13.5" customHeight="1" x14ac:dyDescent="0.25">
      <c r="A5" s="188" t="s">
        <v>213</v>
      </c>
      <c r="B5" s="546" t="str">
        <f>IF('PA 4'!$F$6="","",'PA 4'!$F$6)</f>
        <v/>
      </c>
      <c r="C5" s="546"/>
      <c r="D5" s="546"/>
      <c r="E5" s="546"/>
      <c r="F5" s="546"/>
      <c r="H5" s="547" cm="1">
        <f t="array" ref="H5">'PA 4'!F7:F7</f>
        <v>0</v>
      </c>
      <c r="I5" s="547"/>
      <c r="J5" s="547"/>
      <c r="K5" s="547"/>
      <c r="M5" s="193" t="s">
        <v>214</v>
      </c>
      <c r="N5" s="421"/>
      <c r="O5" s="549" t="s">
        <v>215</v>
      </c>
      <c r="P5" s="549"/>
      <c r="Q5" s="549"/>
      <c r="R5" s="549"/>
    </row>
    <row r="6" spans="1:18" x14ac:dyDescent="0.25">
      <c r="A6" s="188"/>
      <c r="B6" s="187" t="s">
        <v>216</v>
      </c>
      <c r="C6" s="198"/>
      <c r="D6" s="187"/>
      <c r="E6" s="198"/>
      <c r="F6" s="187"/>
      <c r="G6" s="187"/>
      <c r="H6" s="187" t="s">
        <v>217</v>
      </c>
      <c r="M6" s="193"/>
      <c r="O6" s="549"/>
      <c r="P6" s="549"/>
      <c r="Q6" s="549"/>
      <c r="R6" s="549"/>
    </row>
    <row r="7" spans="1:18" ht="13.5" customHeight="1" x14ac:dyDescent="0.25">
      <c r="A7" s="188" t="s">
        <v>218</v>
      </c>
      <c r="B7" s="548">
        <f>'PA 4'!A21</f>
        <v>45657</v>
      </c>
      <c r="C7" s="548"/>
      <c r="E7" s="188" t="s">
        <v>219</v>
      </c>
      <c r="F7" s="422">
        <f>IF('PA 4'!$Q$37=0,0,IF('PA 4'!$C$14&lt;'PA 4'!$C$21,'PA 4'!$C$21,'PA 4'!$C$14))</f>
        <v>0</v>
      </c>
      <c r="G7" s="422"/>
      <c r="H7" s="1"/>
      <c r="I7" s="547">
        <f>IF('PA 4'!$Q$37=0,0,IF('PA 4'!$C$15&gt;0,'PA 4'!$C$15,B7))</f>
        <v>0</v>
      </c>
      <c r="J7" s="547"/>
      <c r="M7" s="193" t="s">
        <v>220</v>
      </c>
      <c r="N7" s="421"/>
      <c r="O7" s="549" t="s">
        <v>221</v>
      </c>
      <c r="P7" s="549"/>
      <c r="Q7" s="549"/>
      <c r="R7" s="549"/>
    </row>
    <row r="8" spans="1:18" x14ac:dyDescent="0.25">
      <c r="A8" s="188"/>
      <c r="B8" s="187" t="s">
        <v>222</v>
      </c>
      <c r="C8" s="187"/>
      <c r="D8" s="187"/>
      <c r="E8" s="187"/>
      <c r="F8" s="187" t="s">
        <v>223</v>
      </c>
      <c r="G8" s="187"/>
      <c r="H8" s="187"/>
      <c r="I8" s="187" t="s">
        <v>224</v>
      </c>
      <c r="M8" s="193"/>
      <c r="O8" s="549"/>
      <c r="P8" s="549"/>
      <c r="Q8" s="549"/>
      <c r="R8" s="549"/>
    </row>
    <row r="9" spans="1:18" x14ac:dyDescent="0.25">
      <c r="A9" s="188" t="s">
        <v>225</v>
      </c>
    </row>
    <row r="10" spans="1:18" x14ac:dyDescent="0.25">
      <c r="A10" s="188"/>
    </row>
    <row r="11" spans="1:18" x14ac:dyDescent="0.25">
      <c r="A11" s="188"/>
      <c r="L11" s="1" t="str">
        <f>CONCATENATE('PA 4'!C6:C6," ",'PA 4'!C7:C7)</f>
        <v xml:space="preserve"> </v>
      </c>
    </row>
    <row r="12" spans="1:18" x14ac:dyDescent="0.25">
      <c r="A12" s="188"/>
      <c r="L12" s="1">
        <f>'PA 4'!C8:C8</f>
        <v>0</v>
      </c>
    </row>
    <row r="13" spans="1:18" x14ac:dyDescent="0.25">
      <c r="A13" s="188"/>
      <c r="L13" s="1">
        <f>'PA 4'!C9:C9</f>
        <v>0</v>
      </c>
    </row>
    <row r="14" spans="1:18" x14ac:dyDescent="0.25">
      <c r="A14" s="188"/>
    </row>
    <row r="15" spans="1:18" x14ac:dyDescent="0.25">
      <c r="A15" s="188"/>
    </row>
    <row r="16" spans="1:18" x14ac:dyDescent="0.25">
      <c r="A16" s="188"/>
    </row>
    <row r="17" spans="1:18" x14ac:dyDescent="0.25">
      <c r="A17" s="188"/>
    </row>
    <row r="18" spans="1:18" ht="13.5" customHeight="1" x14ac:dyDescent="0.25">
      <c r="A18" s="188"/>
      <c r="R18" s="550" t="s">
        <v>226</v>
      </c>
    </row>
    <row r="19" spans="1:18" x14ac:dyDescent="0.25">
      <c r="A19" s="188">
        <v>1</v>
      </c>
      <c r="B19" s="182" t="s">
        <v>227</v>
      </c>
      <c r="C19" s="182"/>
      <c r="D19" s="182" t="s">
        <v>228</v>
      </c>
      <c r="E19" s="182"/>
      <c r="F19" s="182"/>
      <c r="G19" s="182"/>
      <c r="H19" s="182"/>
      <c r="I19" s="182"/>
      <c r="J19" s="186" t="s">
        <v>229</v>
      </c>
      <c r="K19" s="186"/>
      <c r="L19" s="182"/>
      <c r="M19" s="182"/>
      <c r="N19" s="182"/>
      <c r="Q19" s="206"/>
      <c r="R19" s="550"/>
    </row>
    <row r="20" spans="1:18" x14ac:dyDescent="0.25">
      <c r="A20" s="188"/>
      <c r="B20" s="182" t="s">
        <v>230</v>
      </c>
      <c r="C20" s="182"/>
      <c r="D20" s="182" t="s">
        <v>231</v>
      </c>
      <c r="E20" s="182"/>
      <c r="F20" s="182"/>
      <c r="G20" s="182"/>
      <c r="H20" s="182"/>
      <c r="I20" s="182"/>
      <c r="J20" s="186" t="s">
        <v>229</v>
      </c>
      <c r="K20" s="186"/>
      <c r="L20" s="182"/>
      <c r="M20" s="182"/>
      <c r="N20" s="182"/>
      <c r="Q20" s="206"/>
      <c r="R20" s="550"/>
    </row>
    <row r="21" spans="1:18" x14ac:dyDescent="0.25">
      <c r="A21" s="188"/>
      <c r="B21" s="194" t="s">
        <v>232</v>
      </c>
      <c r="C21" s="194"/>
      <c r="D21" s="194" t="s">
        <v>233</v>
      </c>
      <c r="E21" s="194"/>
      <c r="F21" s="194"/>
      <c r="G21" s="194"/>
      <c r="H21" s="194"/>
      <c r="I21" s="194"/>
      <c r="J21" s="195" t="s">
        <v>234</v>
      </c>
      <c r="K21" s="195"/>
      <c r="L21" s="194"/>
      <c r="M21" s="194"/>
      <c r="N21" s="194"/>
      <c r="O21" s="196"/>
      <c r="P21" s="196"/>
      <c r="R21" s="423">
        <f>'PA 4'!Q37-'PA 4'!Q31</f>
        <v>0</v>
      </c>
    </row>
    <row r="22" spans="1:18" ht="3" customHeight="1" x14ac:dyDescent="0.25">
      <c r="A22" s="188"/>
      <c r="B22" s="182"/>
      <c r="C22" s="182"/>
      <c r="D22" s="182"/>
      <c r="E22" s="182"/>
      <c r="F22" s="199"/>
      <c r="G22" s="199"/>
      <c r="H22" s="199"/>
      <c r="I22" s="199"/>
      <c r="J22" s="200"/>
      <c r="K22" s="200"/>
      <c r="L22" s="199"/>
      <c r="M22" s="199"/>
      <c r="N22" s="199"/>
      <c r="O22" s="201"/>
      <c r="P22" s="201"/>
      <c r="R22" s="208"/>
    </row>
    <row r="23" spans="1:18" x14ac:dyDescent="0.25">
      <c r="A23" s="188">
        <v>2</v>
      </c>
      <c r="B23" s="182" t="s">
        <v>235</v>
      </c>
      <c r="C23" s="182"/>
      <c r="D23" s="182"/>
      <c r="E23" s="182"/>
      <c r="F23" s="194" t="s">
        <v>296</v>
      </c>
      <c r="G23" s="194"/>
      <c r="H23" s="194"/>
      <c r="I23" s="196"/>
      <c r="J23" s="194"/>
      <c r="K23" s="194"/>
      <c r="L23" s="194"/>
      <c r="M23" s="194"/>
      <c r="N23" s="194"/>
      <c r="O23" s="196"/>
      <c r="P23" s="196"/>
      <c r="Q23" s="185" t="s">
        <v>237</v>
      </c>
      <c r="R23" s="424">
        <f>'PA 4'!Q31</f>
        <v>0</v>
      </c>
    </row>
    <row r="24" spans="1:18" ht="3" customHeight="1" x14ac:dyDescent="0.25">
      <c r="A24" s="188"/>
      <c r="B24" s="182"/>
      <c r="C24" s="182"/>
      <c r="D24" s="182"/>
      <c r="E24" s="182"/>
      <c r="F24" s="199"/>
      <c r="G24" s="199"/>
      <c r="H24" s="199"/>
      <c r="I24" s="201"/>
      <c r="J24" s="199"/>
      <c r="K24" s="199"/>
      <c r="L24" s="199"/>
      <c r="M24" s="199"/>
      <c r="N24" s="199"/>
      <c r="O24" s="201"/>
      <c r="P24" s="201"/>
      <c r="Q24" s="185"/>
      <c r="R24" s="208"/>
    </row>
    <row r="25" spans="1:18" x14ac:dyDescent="0.25">
      <c r="A25" s="188"/>
      <c r="B25" s="182" t="s">
        <v>238</v>
      </c>
      <c r="C25" s="182"/>
      <c r="D25" s="182"/>
      <c r="E25" s="182"/>
      <c r="F25" s="194" t="s">
        <v>297</v>
      </c>
      <c r="G25" s="194"/>
      <c r="H25" s="194"/>
      <c r="I25" s="194"/>
      <c r="J25" s="194"/>
      <c r="K25" s="194"/>
      <c r="L25" s="194"/>
      <c r="M25" s="194"/>
      <c r="N25" s="194"/>
      <c r="O25" s="196"/>
      <c r="P25" s="196"/>
      <c r="Q25" s="185" t="s">
        <v>237</v>
      </c>
      <c r="R25" s="424"/>
    </row>
    <row r="26" spans="1:18" ht="3" customHeight="1" x14ac:dyDescent="0.25">
      <c r="A26" s="1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Q26" s="185"/>
      <c r="R26" s="209"/>
    </row>
    <row r="27" spans="1:18" x14ac:dyDescent="0.25">
      <c r="A27" s="188"/>
      <c r="B27" s="182" t="s">
        <v>240</v>
      </c>
      <c r="C27" s="182"/>
      <c r="D27" s="182"/>
      <c r="E27" s="182"/>
      <c r="F27" s="182" t="s">
        <v>298</v>
      </c>
      <c r="G27" s="182"/>
      <c r="H27" s="182"/>
      <c r="I27" s="182"/>
      <c r="J27" s="542"/>
      <c r="K27" s="542"/>
      <c r="L27" s="542"/>
      <c r="M27" s="542"/>
      <c r="N27" s="542"/>
      <c r="O27" s="542"/>
      <c r="P27" s="542"/>
      <c r="Q27" s="185" t="s">
        <v>237</v>
      </c>
      <c r="R27" s="424"/>
    </row>
    <row r="28" spans="1:18" ht="9.75" customHeight="1" x14ac:dyDescent="0.25">
      <c r="A28" s="188"/>
      <c r="B28" s="182"/>
      <c r="C28" s="182"/>
      <c r="D28" s="182"/>
      <c r="E28" s="182"/>
      <c r="F28" s="184" t="s">
        <v>242</v>
      </c>
      <c r="G28" s="184"/>
      <c r="H28" s="184"/>
      <c r="I28" s="182"/>
      <c r="J28" s="182"/>
      <c r="K28" s="182"/>
      <c r="L28" s="182"/>
      <c r="M28" s="182"/>
      <c r="N28" s="182"/>
      <c r="R28" s="210"/>
    </row>
    <row r="29" spans="1:18" x14ac:dyDescent="0.25">
      <c r="A29" s="188">
        <v>3</v>
      </c>
      <c r="B29" s="182" t="s">
        <v>243</v>
      </c>
      <c r="C29" s="182"/>
      <c r="D29" s="182"/>
      <c r="E29" s="182"/>
      <c r="F29" s="182"/>
      <c r="G29" s="182"/>
      <c r="H29" s="182"/>
      <c r="I29" s="182"/>
      <c r="J29" s="182"/>
      <c r="K29" s="184" t="s">
        <v>242</v>
      </c>
      <c r="M29" s="182"/>
      <c r="N29" s="182"/>
      <c r="Q29" s="185" t="s">
        <v>237</v>
      </c>
      <c r="R29" s="210"/>
    </row>
    <row r="30" spans="1:18" x14ac:dyDescent="0.25">
      <c r="A30" s="188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R30" s="424"/>
    </row>
    <row r="31" spans="1:18" ht="3" customHeight="1" x14ac:dyDescent="0.25">
      <c r="A31" s="18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R31" s="208"/>
    </row>
    <row r="32" spans="1:18" x14ac:dyDescent="0.25">
      <c r="A32" s="188">
        <v>4</v>
      </c>
      <c r="B32" s="182" t="s">
        <v>244</v>
      </c>
      <c r="C32" s="182"/>
      <c r="D32" s="182"/>
      <c r="E32" s="182"/>
      <c r="F32" s="182"/>
      <c r="G32" s="182"/>
      <c r="H32" s="182"/>
      <c r="I32" s="542"/>
      <c r="J32" s="542"/>
      <c r="K32" s="542"/>
      <c r="L32" s="542"/>
      <c r="M32" s="542"/>
      <c r="N32" s="542"/>
      <c r="O32" s="542"/>
      <c r="P32" s="542"/>
      <c r="Q32" s="185" t="s">
        <v>237</v>
      </c>
      <c r="R32" s="424"/>
    </row>
    <row r="33" spans="1:18" ht="9" customHeight="1" x14ac:dyDescent="0.25">
      <c r="A33" s="188"/>
      <c r="B33" s="184" t="s">
        <v>242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R33" s="210"/>
    </row>
    <row r="34" spans="1:18" x14ac:dyDescent="0.25">
      <c r="A34" s="188">
        <v>5</v>
      </c>
      <c r="B34" s="194" t="s">
        <v>245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6"/>
      <c r="P34" s="196"/>
      <c r="Q34" s="185" t="s">
        <v>237</v>
      </c>
      <c r="R34" s="424"/>
    </row>
    <row r="35" spans="1:18" ht="3" customHeight="1" x14ac:dyDescent="0.25">
      <c r="A35" s="18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Q35" s="185"/>
      <c r="R35" s="209"/>
    </row>
    <row r="36" spans="1:18" x14ac:dyDescent="0.25">
      <c r="A36" s="188">
        <v>6</v>
      </c>
      <c r="B36" s="194" t="s">
        <v>246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6"/>
      <c r="P36" s="196"/>
      <c r="Q36" s="185" t="s">
        <v>237</v>
      </c>
      <c r="R36" s="424"/>
    </row>
    <row r="37" spans="1:18" ht="3" customHeight="1" x14ac:dyDescent="0.25">
      <c r="A37" s="18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Q37" s="185"/>
      <c r="R37" s="209"/>
    </row>
    <row r="38" spans="1:18" x14ac:dyDescent="0.25">
      <c r="A38" s="188">
        <v>7</v>
      </c>
      <c r="B38" s="182" t="s">
        <v>247</v>
      </c>
      <c r="C38" s="182"/>
      <c r="D38" s="182"/>
      <c r="E38" s="182"/>
      <c r="F38" s="182"/>
      <c r="G38" s="182"/>
      <c r="H38" s="182"/>
      <c r="I38" s="542"/>
      <c r="J38" s="542"/>
      <c r="K38" s="542"/>
      <c r="L38" s="542"/>
      <c r="M38" s="542"/>
      <c r="N38" s="542"/>
      <c r="O38" s="542"/>
      <c r="P38" s="542"/>
      <c r="Q38" s="185" t="s">
        <v>237</v>
      </c>
      <c r="R38" s="424"/>
    </row>
    <row r="39" spans="1:18" ht="9" customHeight="1" x14ac:dyDescent="0.25">
      <c r="A39" s="188"/>
      <c r="B39" s="184" t="s">
        <v>242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R39" s="210"/>
    </row>
    <row r="40" spans="1:18" x14ac:dyDescent="0.25">
      <c r="A40" s="188">
        <v>8</v>
      </c>
      <c r="B40" s="194" t="s">
        <v>248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6"/>
      <c r="P40" s="196"/>
      <c r="Q40" s="185" t="s">
        <v>249</v>
      </c>
      <c r="R40" s="424">
        <f>SUM(R21:R39)</f>
        <v>0</v>
      </c>
    </row>
    <row r="41" spans="1:18" ht="3" customHeight="1" x14ac:dyDescent="0.25">
      <c r="A41" s="18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Q41" s="185"/>
      <c r="R41" s="209"/>
    </row>
    <row r="42" spans="1:18" x14ac:dyDescent="0.25">
      <c r="A42" s="188">
        <v>9</v>
      </c>
      <c r="B42" s="194" t="s">
        <v>250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6"/>
      <c r="P42" s="196"/>
      <c r="Q42" s="185" t="s">
        <v>36</v>
      </c>
      <c r="R42" s="424">
        <f>('PA 4'!Q40+'PA 4'!Q41+'PA 4'!Q42)*-1</f>
        <v>0</v>
      </c>
    </row>
    <row r="43" spans="1:18" ht="3" customHeight="1" x14ac:dyDescent="0.25">
      <c r="A43" s="188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Q43" s="185"/>
      <c r="R43" s="209"/>
    </row>
    <row r="44" spans="1:18" x14ac:dyDescent="0.25">
      <c r="A44" s="188">
        <v>10</v>
      </c>
      <c r="B44" s="182" t="s">
        <v>251</v>
      </c>
      <c r="C44" s="182"/>
      <c r="D44" s="182"/>
      <c r="E44" s="182" t="s">
        <v>252</v>
      </c>
      <c r="F44" s="182"/>
      <c r="G44" s="182"/>
      <c r="H44" s="194" t="s">
        <v>299</v>
      </c>
      <c r="I44" s="196"/>
      <c r="J44" s="194"/>
      <c r="K44" s="194"/>
      <c r="L44" s="194"/>
      <c r="M44" s="194"/>
      <c r="N44" s="194"/>
      <c r="O44" s="196"/>
      <c r="P44" s="196"/>
      <c r="Q44" s="185" t="s">
        <v>36</v>
      </c>
      <c r="R44" s="424">
        <f>'PA 4'!Q44*-1</f>
        <v>0</v>
      </c>
    </row>
    <row r="45" spans="1:18" x14ac:dyDescent="0.25">
      <c r="A45" s="188"/>
      <c r="B45" s="182" t="s">
        <v>254</v>
      </c>
      <c r="C45" s="182"/>
      <c r="D45" s="182"/>
      <c r="E45" s="182" t="s">
        <v>300</v>
      </c>
      <c r="F45" s="182"/>
      <c r="G45" s="182"/>
      <c r="H45" s="182"/>
      <c r="J45" s="182"/>
      <c r="K45" s="182"/>
      <c r="L45" s="182"/>
      <c r="M45" s="182"/>
      <c r="N45" s="182"/>
      <c r="R45" s="210"/>
    </row>
    <row r="46" spans="1:18" x14ac:dyDescent="0.25">
      <c r="A46" s="188"/>
      <c r="B46" s="182" t="s">
        <v>256</v>
      </c>
      <c r="C46" s="182"/>
      <c r="E46" s="182" t="s">
        <v>301</v>
      </c>
      <c r="H46" s="194" t="s">
        <v>302</v>
      </c>
      <c r="I46" s="196"/>
      <c r="J46" s="196"/>
      <c r="K46" s="196"/>
      <c r="L46" s="196"/>
      <c r="M46" s="196"/>
      <c r="N46" s="196"/>
      <c r="O46" s="196"/>
      <c r="P46" s="196"/>
      <c r="Q46" s="185" t="s">
        <v>36</v>
      </c>
      <c r="R46" s="424"/>
    </row>
    <row r="47" spans="1:18" ht="3" customHeight="1" x14ac:dyDescent="0.25">
      <c r="A47" s="188"/>
      <c r="B47" s="182"/>
      <c r="C47" s="182"/>
      <c r="E47" s="182"/>
      <c r="H47" s="182"/>
      <c r="Q47" s="185"/>
      <c r="R47" s="209"/>
    </row>
    <row r="48" spans="1:18" x14ac:dyDescent="0.25">
      <c r="A48" s="188">
        <v>11</v>
      </c>
      <c r="B48" s="197" t="s">
        <v>259</v>
      </c>
      <c r="C48" s="194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85" t="s">
        <v>249</v>
      </c>
      <c r="R48" s="424">
        <f>R40-SUM(R42:R46)</f>
        <v>0</v>
      </c>
    </row>
    <row r="49" spans="1:18" ht="9" customHeight="1" x14ac:dyDescent="0.25">
      <c r="A49" s="188"/>
      <c r="B49" s="189" t="s">
        <v>260</v>
      </c>
      <c r="C49" s="182"/>
      <c r="R49" s="210"/>
    </row>
    <row r="50" spans="1:18" x14ac:dyDescent="0.25">
      <c r="A50" s="188">
        <v>12</v>
      </c>
      <c r="B50" s="194" t="s">
        <v>261</v>
      </c>
      <c r="C50" s="194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R50" s="424">
        <f>'PA 4'!Q46*-1</f>
        <v>0</v>
      </c>
    </row>
    <row r="51" spans="1:18" x14ac:dyDescent="0.25">
      <c r="A51" s="188">
        <v>13</v>
      </c>
      <c r="B51" s="182" t="s">
        <v>262</v>
      </c>
      <c r="C51" s="182"/>
      <c r="R51" s="211"/>
    </row>
    <row r="52" spans="1:18" ht="9" customHeight="1" x14ac:dyDescent="0.25">
      <c r="B52" s="184" t="s">
        <v>263</v>
      </c>
      <c r="R52" s="211"/>
    </row>
    <row r="53" spans="1:18" ht="13.5" customHeight="1" x14ac:dyDescent="0.25">
      <c r="A53" s="551">
        <v>13.1</v>
      </c>
      <c r="B53" s="551"/>
      <c r="C53" s="553" t="s">
        <v>264</v>
      </c>
      <c r="D53" s="190" t="s">
        <v>265</v>
      </c>
      <c r="E53" s="194" t="s">
        <v>266</v>
      </c>
      <c r="F53" s="194"/>
      <c r="G53" s="194"/>
      <c r="H53" s="194"/>
      <c r="I53" s="196"/>
      <c r="J53" s="196"/>
      <c r="K53" s="196"/>
      <c r="L53" s="196"/>
      <c r="M53" s="196"/>
      <c r="N53" s="196"/>
      <c r="O53" s="196"/>
      <c r="P53" s="420" t="s">
        <v>209</v>
      </c>
      <c r="R53" s="426"/>
    </row>
    <row r="54" spans="1:18" ht="3" customHeight="1" x14ac:dyDescent="0.25">
      <c r="A54" s="203"/>
      <c r="B54" s="203"/>
      <c r="C54" s="553"/>
      <c r="D54" s="190"/>
      <c r="E54" s="182"/>
      <c r="F54" s="182"/>
      <c r="G54" s="182"/>
      <c r="H54" s="182"/>
      <c r="R54" s="212"/>
    </row>
    <row r="55" spans="1:18" x14ac:dyDescent="0.25">
      <c r="A55" s="188"/>
      <c r="B55" s="188"/>
      <c r="C55" s="553"/>
      <c r="D55" s="191" t="s">
        <v>267</v>
      </c>
      <c r="E55" s="182" t="s">
        <v>268</v>
      </c>
      <c r="F55" s="182"/>
      <c r="G55" s="182"/>
      <c r="H55" s="182"/>
      <c r="I55" s="543"/>
      <c r="J55" s="543"/>
      <c r="K55" s="543"/>
      <c r="L55" s="543"/>
      <c r="M55" s="543"/>
      <c r="N55" s="543"/>
      <c r="O55" s="543"/>
      <c r="P55" s="543"/>
      <c r="R55" s="426"/>
    </row>
    <row r="56" spans="1:18" ht="9" customHeight="1" x14ac:dyDescent="0.25">
      <c r="A56" s="188"/>
      <c r="B56" s="188"/>
      <c r="C56" s="553"/>
      <c r="D56" s="192"/>
      <c r="E56" s="187" t="s">
        <v>242</v>
      </c>
      <c r="R56" s="211"/>
    </row>
    <row r="57" spans="1:18" x14ac:dyDescent="0.25">
      <c r="A57" s="552">
        <v>13.2</v>
      </c>
      <c r="B57" s="552"/>
      <c r="C57" s="182" t="s">
        <v>269</v>
      </c>
      <c r="D57" s="191" t="s">
        <v>270</v>
      </c>
      <c r="E57" s="194" t="s">
        <v>271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R57" s="426"/>
    </row>
    <row r="58" spans="1:18" ht="3" customHeight="1" x14ac:dyDescent="0.25">
      <c r="A58" s="204"/>
      <c r="B58" s="204"/>
      <c r="C58" s="182"/>
      <c r="D58" s="191"/>
      <c r="E58" s="182"/>
      <c r="R58" s="213"/>
    </row>
    <row r="59" spans="1:18" x14ac:dyDescent="0.25">
      <c r="A59" s="188"/>
      <c r="B59" s="188"/>
      <c r="C59" s="182" t="s">
        <v>272</v>
      </c>
      <c r="D59" s="191" t="s">
        <v>273</v>
      </c>
      <c r="E59" s="194" t="s">
        <v>274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R59" s="426"/>
    </row>
    <row r="60" spans="1:18" ht="3" customHeight="1" x14ac:dyDescent="0.25">
      <c r="A60" s="188"/>
      <c r="B60" s="188"/>
      <c r="C60" s="182"/>
      <c r="D60" s="191"/>
      <c r="E60" s="182"/>
      <c r="I60" s="201"/>
      <c r="J60" s="201"/>
      <c r="K60" s="201"/>
      <c r="L60" s="201"/>
      <c r="M60" s="201"/>
      <c r="N60" s="201"/>
      <c r="O60" s="201"/>
      <c r="P60" s="201"/>
      <c r="R60" s="213"/>
    </row>
    <row r="61" spans="1:18" x14ac:dyDescent="0.25">
      <c r="A61" s="188"/>
      <c r="B61" s="188"/>
      <c r="C61" s="182" t="s">
        <v>275</v>
      </c>
      <c r="D61" s="191" t="s">
        <v>276</v>
      </c>
      <c r="E61" s="182" t="s">
        <v>268</v>
      </c>
      <c r="I61" s="543"/>
      <c r="J61" s="543"/>
      <c r="K61" s="543"/>
      <c r="L61" s="543"/>
      <c r="M61" s="543"/>
      <c r="N61" s="543"/>
      <c r="O61" s="543"/>
      <c r="P61" s="543"/>
      <c r="R61" s="426"/>
    </row>
    <row r="62" spans="1:18" ht="9" customHeight="1" x14ac:dyDescent="0.25">
      <c r="B62" s="182"/>
      <c r="C62" s="182"/>
      <c r="E62" s="187" t="s">
        <v>242</v>
      </c>
      <c r="R62" s="211"/>
    </row>
    <row r="63" spans="1:18" x14ac:dyDescent="0.25">
      <c r="A63" s="551">
        <v>13.3</v>
      </c>
      <c r="B63" s="551"/>
      <c r="C63" s="194" t="s">
        <v>277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R63" s="426"/>
    </row>
    <row r="64" spans="1:18" ht="3" customHeight="1" x14ac:dyDescent="0.25">
      <c r="A64" s="203"/>
      <c r="B64" s="203"/>
      <c r="C64" s="182"/>
    </row>
    <row r="65" spans="1:18" x14ac:dyDescent="0.25">
      <c r="A65" s="188">
        <v>14</v>
      </c>
      <c r="B65" s="182" t="s">
        <v>278</v>
      </c>
      <c r="C65" s="182"/>
      <c r="F65" s="182" t="s">
        <v>279</v>
      </c>
      <c r="G65" s="182"/>
      <c r="H65" s="182"/>
      <c r="I65" s="543"/>
      <c r="J65" s="543"/>
      <c r="K65" s="543"/>
      <c r="L65" s="543"/>
      <c r="M65" s="543"/>
      <c r="N65" s="543"/>
      <c r="O65" s="543"/>
      <c r="P65" s="543"/>
      <c r="Q65" s="543"/>
      <c r="R65" s="543"/>
    </row>
    <row r="66" spans="1:18" ht="3" customHeight="1" x14ac:dyDescent="0.25">
      <c r="A66" s="188"/>
      <c r="B66" s="182"/>
      <c r="C66" s="182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5">
      <c r="A67" s="188"/>
      <c r="B67" s="182" t="s">
        <v>280</v>
      </c>
      <c r="C67" s="182"/>
      <c r="F67" s="182" t="s">
        <v>281</v>
      </c>
      <c r="G67" s="182"/>
      <c r="H67" s="182"/>
      <c r="I67" s="543"/>
      <c r="J67" s="543"/>
      <c r="K67" s="543"/>
      <c r="L67" s="543"/>
      <c r="M67" s="543"/>
      <c r="N67" s="543"/>
      <c r="O67" s="543"/>
      <c r="P67" s="543"/>
      <c r="Q67" s="543"/>
      <c r="R67" s="543"/>
    </row>
    <row r="68" spans="1:18" ht="3" customHeight="1" x14ac:dyDescent="0.25">
      <c r="A68" s="188"/>
      <c r="B68" s="182"/>
      <c r="C68" s="182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5">
      <c r="A69" s="188"/>
      <c r="B69" s="182" t="s">
        <v>282</v>
      </c>
      <c r="C69" s="182"/>
      <c r="F69" s="182" t="s">
        <v>283</v>
      </c>
      <c r="G69" s="182"/>
      <c r="H69" s="182"/>
      <c r="I69" s="543"/>
      <c r="J69" s="543"/>
      <c r="K69" s="543"/>
      <c r="L69" s="543"/>
      <c r="M69" s="543"/>
      <c r="N69" s="543"/>
      <c r="O69" s="543"/>
      <c r="P69" s="543"/>
      <c r="Q69" s="543"/>
      <c r="R69" s="543"/>
    </row>
    <row r="70" spans="1:18" ht="3" customHeight="1" x14ac:dyDescent="0.25">
      <c r="A70" s="188"/>
      <c r="B70" s="182"/>
      <c r="C70" s="182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5">
      <c r="A71" s="188">
        <v>15</v>
      </c>
      <c r="B71" s="182" t="s">
        <v>284</v>
      </c>
      <c r="C71" s="182"/>
      <c r="D71" s="545" t="str">
        <f>IF('PA 4'!L7&lt;100%,"Taux d'occupation "&amp;('PA 4'!L7+'PA 4'!L12)*100&amp;"%","")</f>
        <v>Taux d'occupation 0%</v>
      </c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</row>
    <row r="72" spans="1:18" ht="3" customHeight="1" x14ac:dyDescent="0.25">
      <c r="A72" s="188"/>
      <c r="B72" s="182"/>
      <c r="C72" s="182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x14ac:dyDescent="0.25">
      <c r="A73" s="188"/>
      <c r="B73" s="182" t="s">
        <v>285</v>
      </c>
      <c r="C73" s="182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</row>
    <row r="74" spans="1:18" ht="3" customHeight="1" x14ac:dyDescent="0.25">
      <c r="A74" s="188"/>
      <c r="B74" s="182"/>
      <c r="C74" s="182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x14ac:dyDescent="0.25">
      <c r="A75" s="188"/>
      <c r="B75" s="182" t="s">
        <v>286</v>
      </c>
      <c r="C75" s="182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</row>
    <row r="76" spans="1:18" x14ac:dyDescent="0.25">
      <c r="A76" s="188"/>
      <c r="B76" s="182"/>
      <c r="C76" s="182"/>
    </row>
    <row r="77" spans="1:18" x14ac:dyDescent="0.25">
      <c r="A77" s="188" t="s">
        <v>287</v>
      </c>
      <c r="B77" s="182" t="s">
        <v>288</v>
      </c>
      <c r="C77" s="182"/>
      <c r="F77" s="182" t="s">
        <v>289</v>
      </c>
      <c r="G77" s="182"/>
      <c r="M77" s="554">
        <f>'Attestation du salaire (ord.)'!A8:A8</f>
        <v>0</v>
      </c>
      <c r="N77" s="554"/>
      <c r="O77" s="554"/>
      <c r="P77" s="554"/>
      <c r="Q77" s="554"/>
      <c r="R77" s="554"/>
    </row>
    <row r="78" spans="1:18" ht="9" customHeight="1" x14ac:dyDescent="0.25">
      <c r="B78" s="182"/>
      <c r="C78" s="182"/>
      <c r="F78" s="184" t="s">
        <v>290</v>
      </c>
      <c r="G78" s="184"/>
      <c r="M78" s="214"/>
      <c r="N78" s="214"/>
      <c r="O78" s="214"/>
      <c r="P78" s="214"/>
      <c r="Q78" s="214"/>
      <c r="R78" s="214"/>
    </row>
    <row r="79" spans="1:18" ht="13.5" customHeight="1" x14ac:dyDescent="0.25">
      <c r="B79" s="182"/>
      <c r="C79" s="182"/>
      <c r="F79" s="182" t="s">
        <v>291</v>
      </c>
      <c r="G79" s="182"/>
      <c r="M79" s="554">
        <f>'Attestation du salaire (ord.)'!A9:A9</f>
        <v>0</v>
      </c>
      <c r="N79" s="554"/>
      <c r="O79" s="554"/>
      <c r="P79" s="554"/>
      <c r="Q79" s="554"/>
      <c r="R79" s="554"/>
    </row>
    <row r="80" spans="1:18" ht="9" customHeight="1" x14ac:dyDescent="0.25">
      <c r="B80" s="182"/>
      <c r="C80" s="182"/>
      <c r="F80" s="184" t="s">
        <v>292</v>
      </c>
      <c r="G80" s="184"/>
      <c r="M80" s="214"/>
      <c r="N80" s="214"/>
      <c r="O80" s="214"/>
      <c r="P80" s="214"/>
      <c r="Q80" s="214"/>
      <c r="R80" s="214"/>
    </row>
    <row r="81" spans="2:18" ht="13.5" customHeight="1" x14ac:dyDescent="0.25">
      <c r="B81" s="182"/>
      <c r="C81" s="182"/>
      <c r="F81" s="182" t="s">
        <v>293</v>
      </c>
      <c r="G81" s="182"/>
      <c r="M81" s="554">
        <f>'Attestation du salaire (ord.)'!A10:A10</f>
        <v>0</v>
      </c>
      <c r="N81" s="554"/>
      <c r="O81" s="554"/>
      <c r="P81" s="554"/>
      <c r="Q81" s="554"/>
      <c r="R81" s="554"/>
    </row>
    <row r="82" spans="2:18" ht="9" customHeight="1" x14ac:dyDescent="0.25">
      <c r="B82" s="182"/>
      <c r="C82" s="182"/>
      <c r="F82" s="184" t="s">
        <v>294</v>
      </c>
      <c r="G82" s="184"/>
      <c r="M82" s="215"/>
      <c r="N82" s="215"/>
      <c r="O82" s="215"/>
      <c r="P82" s="215"/>
      <c r="Q82" s="215"/>
      <c r="R82" s="215"/>
    </row>
    <row r="83" spans="2:18" ht="13.5" customHeight="1" x14ac:dyDescent="0.25">
      <c r="B83" s="182"/>
      <c r="C83" s="182"/>
      <c r="I83" s="182"/>
      <c r="M83" s="554" t="str">
        <f>'CS 1'!M83:R83</f>
        <v>Entrez le numéro de téléphone ici</v>
      </c>
      <c r="N83" s="554"/>
      <c r="O83" s="554"/>
      <c r="P83" s="554"/>
      <c r="Q83" s="554"/>
      <c r="R83" s="554"/>
    </row>
    <row r="84" spans="2:18" x14ac:dyDescent="0.25">
      <c r="B84" s="182"/>
      <c r="C84" s="182"/>
    </row>
  </sheetData>
  <sheetProtection algorithmName="SHA-512" hashValue="8WhCzhtMVnCyU2EQehhYCYPLiaXm5JEtS3PXJjmhcOIGsC/1t/Ahdw6hHUztOKVW8S/pi3C4HVDuFVoXhSIYVQ==" saltValue="izUf/4/TA1Cl+C64MhYrjg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2" bestFit="1" customWidth="1"/>
    <col min="2" max="2" width="3.28515625" style="183" customWidth="1"/>
    <col min="3" max="3" width="12" style="183" customWidth="1"/>
    <col min="4" max="4" width="7.42578125" style="183" customWidth="1"/>
    <col min="5" max="5" width="1.85546875" style="183" customWidth="1"/>
    <col min="6" max="6" width="10.28515625" style="183" customWidth="1"/>
    <col min="7" max="7" width="1.7109375" style="183" customWidth="1"/>
    <col min="8" max="9" width="5.7109375" style="183" customWidth="1"/>
    <col min="10" max="11" width="6.28515625" style="183" customWidth="1"/>
    <col min="12" max="12" width="4" style="183" customWidth="1"/>
    <col min="13" max="13" width="2.140625" style="183" bestFit="1" customWidth="1"/>
    <col min="14" max="14" width="2.7109375" style="183" customWidth="1"/>
    <col min="15" max="15" width="14.7109375" style="183" customWidth="1"/>
    <col min="16" max="16" width="2.7109375" style="183" customWidth="1"/>
    <col min="17" max="17" width="1.7109375" style="183" customWidth="1"/>
    <col min="18" max="18" width="14.140625" style="183" customWidth="1"/>
    <col min="19" max="16384" width="11.42578125" style="183"/>
  </cols>
  <sheetData>
    <row r="1" spans="1:18" ht="18.75" x14ac:dyDescent="0.4">
      <c r="A1" s="188" t="s">
        <v>208</v>
      </c>
      <c r="B1" s="420" t="s">
        <v>209</v>
      </c>
      <c r="C1" s="207" t="s">
        <v>210</v>
      </c>
    </row>
    <row r="2" spans="1:18" ht="3" customHeight="1" x14ac:dyDescent="0.4">
      <c r="A2" s="188"/>
      <c r="C2" s="207"/>
    </row>
    <row r="3" spans="1:18" ht="18.75" x14ac:dyDescent="0.4">
      <c r="A3" s="188" t="s">
        <v>211</v>
      </c>
      <c r="B3" s="421"/>
      <c r="C3" s="207" t="s">
        <v>212</v>
      </c>
    </row>
    <row r="4" spans="1:18" ht="9" customHeight="1" x14ac:dyDescent="0.25">
      <c r="A4" s="188"/>
      <c r="C4" s="192"/>
    </row>
    <row r="5" spans="1:18" ht="13.5" customHeight="1" x14ac:dyDescent="0.25">
      <c r="A5" s="188" t="s">
        <v>213</v>
      </c>
      <c r="B5" s="546" t="str">
        <f>IF('PA 5'!$F$6="","",'PA 5'!$F$6)</f>
        <v/>
      </c>
      <c r="C5" s="546"/>
      <c r="D5" s="546"/>
      <c r="E5" s="546"/>
      <c r="F5" s="546"/>
      <c r="H5" s="547" cm="1">
        <f t="array" ref="H5">'PA 5'!F7:F7</f>
        <v>0</v>
      </c>
      <c r="I5" s="547"/>
      <c r="J5" s="547"/>
      <c r="K5" s="547"/>
      <c r="M5" s="193" t="s">
        <v>214</v>
      </c>
      <c r="N5" s="421"/>
      <c r="O5" s="549" t="s">
        <v>215</v>
      </c>
      <c r="P5" s="549"/>
      <c r="Q5" s="549"/>
      <c r="R5" s="549"/>
    </row>
    <row r="6" spans="1:18" x14ac:dyDescent="0.25">
      <c r="A6" s="188"/>
      <c r="B6" s="187" t="s">
        <v>216</v>
      </c>
      <c r="C6" s="198"/>
      <c r="D6" s="187"/>
      <c r="E6" s="198"/>
      <c r="F6" s="187"/>
      <c r="G6" s="187"/>
      <c r="H6" s="187" t="s">
        <v>217</v>
      </c>
      <c r="M6" s="193"/>
      <c r="O6" s="549"/>
      <c r="P6" s="549"/>
      <c r="Q6" s="549"/>
      <c r="R6" s="549"/>
    </row>
    <row r="7" spans="1:18" ht="13.5" customHeight="1" x14ac:dyDescent="0.25">
      <c r="A7" s="188" t="s">
        <v>218</v>
      </c>
      <c r="B7" s="548">
        <f>'PA 5'!A21</f>
        <v>45657</v>
      </c>
      <c r="C7" s="548"/>
      <c r="E7" s="188" t="s">
        <v>219</v>
      </c>
      <c r="F7" s="422">
        <f>IF('PA 5'!$Q$37=0,0,IF('PA 5'!$C$14&lt;'PA 5'!$C$21,'PA 5'!$C$21,'PA 5'!$C$14))</f>
        <v>0</v>
      </c>
      <c r="G7" s="422"/>
      <c r="H7" s="1"/>
      <c r="I7" s="547">
        <f>IF('PA 5'!$Q$37=0,0,IF('PA 5'!$C$15&gt;0,'PA 5'!$C$15,B7))</f>
        <v>0</v>
      </c>
      <c r="J7" s="547"/>
      <c r="M7" s="193" t="s">
        <v>220</v>
      </c>
      <c r="N7" s="421"/>
      <c r="O7" s="549" t="s">
        <v>221</v>
      </c>
      <c r="P7" s="549"/>
      <c r="Q7" s="549"/>
      <c r="R7" s="549"/>
    </row>
    <row r="8" spans="1:18" x14ac:dyDescent="0.25">
      <c r="A8" s="188"/>
      <c r="B8" s="187" t="s">
        <v>222</v>
      </c>
      <c r="C8" s="187"/>
      <c r="D8" s="187"/>
      <c r="E8" s="187"/>
      <c r="F8" s="187" t="s">
        <v>223</v>
      </c>
      <c r="G8" s="187"/>
      <c r="H8" s="187"/>
      <c r="I8" s="187" t="s">
        <v>224</v>
      </c>
      <c r="M8" s="193"/>
      <c r="O8" s="549"/>
      <c r="P8" s="549"/>
      <c r="Q8" s="549"/>
      <c r="R8" s="549"/>
    </row>
    <row r="9" spans="1:18" x14ac:dyDescent="0.25">
      <c r="A9" s="188" t="s">
        <v>225</v>
      </c>
    </row>
    <row r="10" spans="1:18" x14ac:dyDescent="0.25">
      <c r="A10" s="188"/>
    </row>
    <row r="11" spans="1:18" x14ac:dyDescent="0.25">
      <c r="A11" s="188"/>
      <c r="L11" s="1" t="str">
        <f>CONCATENATE('PA 5'!C6:C6," ",'PA 5'!C7:C7)</f>
        <v xml:space="preserve"> </v>
      </c>
    </row>
    <row r="12" spans="1:18" x14ac:dyDescent="0.25">
      <c r="A12" s="188"/>
      <c r="L12" s="1">
        <f>'PA 5'!C8:C8</f>
        <v>0</v>
      </c>
    </row>
    <row r="13" spans="1:18" x14ac:dyDescent="0.25">
      <c r="A13" s="188"/>
      <c r="L13" s="1">
        <f>'PA 5'!C9:C9</f>
        <v>0</v>
      </c>
    </row>
    <row r="14" spans="1:18" x14ac:dyDescent="0.25">
      <c r="A14" s="188"/>
    </row>
    <row r="15" spans="1:18" x14ac:dyDescent="0.25">
      <c r="A15" s="188"/>
    </row>
    <row r="16" spans="1:18" x14ac:dyDescent="0.25">
      <c r="A16" s="188"/>
    </row>
    <row r="17" spans="1:18" x14ac:dyDescent="0.25">
      <c r="A17" s="188"/>
    </row>
    <row r="18" spans="1:18" ht="13.5" customHeight="1" x14ac:dyDescent="0.25">
      <c r="A18" s="188"/>
      <c r="R18" s="550" t="s">
        <v>226</v>
      </c>
    </row>
    <row r="19" spans="1:18" x14ac:dyDescent="0.25">
      <c r="A19" s="188">
        <v>1</v>
      </c>
      <c r="B19" s="182" t="s">
        <v>227</v>
      </c>
      <c r="C19" s="182"/>
      <c r="D19" s="182" t="s">
        <v>228</v>
      </c>
      <c r="E19" s="182"/>
      <c r="F19" s="182"/>
      <c r="G19" s="182"/>
      <c r="H19" s="182"/>
      <c r="I19" s="182"/>
      <c r="J19" s="186" t="s">
        <v>229</v>
      </c>
      <c r="K19" s="186"/>
      <c r="L19" s="182"/>
      <c r="M19" s="182"/>
      <c r="N19" s="182"/>
      <c r="Q19" s="206"/>
      <c r="R19" s="550"/>
    </row>
    <row r="20" spans="1:18" x14ac:dyDescent="0.25">
      <c r="A20" s="188"/>
      <c r="B20" s="182" t="s">
        <v>230</v>
      </c>
      <c r="C20" s="182"/>
      <c r="D20" s="182" t="s">
        <v>231</v>
      </c>
      <c r="E20" s="182"/>
      <c r="F20" s="182"/>
      <c r="G20" s="182"/>
      <c r="H20" s="182"/>
      <c r="I20" s="182"/>
      <c r="J20" s="186" t="s">
        <v>229</v>
      </c>
      <c r="K20" s="186"/>
      <c r="L20" s="182"/>
      <c r="M20" s="182"/>
      <c r="N20" s="182"/>
      <c r="Q20" s="206"/>
      <c r="R20" s="550"/>
    </row>
    <row r="21" spans="1:18" x14ac:dyDescent="0.25">
      <c r="A21" s="188"/>
      <c r="B21" s="194" t="s">
        <v>232</v>
      </c>
      <c r="C21" s="194"/>
      <c r="D21" s="194" t="s">
        <v>233</v>
      </c>
      <c r="E21" s="194"/>
      <c r="F21" s="194"/>
      <c r="G21" s="194"/>
      <c r="H21" s="194"/>
      <c r="I21" s="194"/>
      <c r="J21" s="195" t="s">
        <v>234</v>
      </c>
      <c r="K21" s="195"/>
      <c r="L21" s="194"/>
      <c r="M21" s="194"/>
      <c r="N21" s="194"/>
      <c r="O21" s="196"/>
      <c r="P21" s="196"/>
      <c r="R21" s="423">
        <f>'PA 5'!Q37-'PA 5'!Q31</f>
        <v>0</v>
      </c>
    </row>
    <row r="22" spans="1:18" ht="3" customHeight="1" x14ac:dyDescent="0.25">
      <c r="A22" s="188"/>
      <c r="B22" s="182"/>
      <c r="C22" s="182"/>
      <c r="D22" s="182"/>
      <c r="E22" s="182"/>
      <c r="F22" s="199"/>
      <c r="G22" s="199"/>
      <c r="H22" s="199"/>
      <c r="I22" s="199"/>
      <c r="J22" s="200"/>
      <c r="K22" s="200"/>
      <c r="L22" s="199"/>
      <c r="M22" s="199"/>
      <c r="N22" s="199"/>
      <c r="O22" s="201"/>
      <c r="P22" s="201"/>
      <c r="R22" s="208"/>
    </row>
    <row r="23" spans="1:18" x14ac:dyDescent="0.25">
      <c r="A23" s="188">
        <v>2</v>
      </c>
      <c r="B23" s="182" t="s">
        <v>235</v>
      </c>
      <c r="C23" s="182"/>
      <c r="D23" s="182"/>
      <c r="E23" s="182"/>
      <c r="F23" s="194" t="s">
        <v>296</v>
      </c>
      <c r="G23" s="194"/>
      <c r="H23" s="194"/>
      <c r="I23" s="196"/>
      <c r="J23" s="194"/>
      <c r="K23" s="194"/>
      <c r="L23" s="194"/>
      <c r="M23" s="194"/>
      <c r="N23" s="194"/>
      <c r="O23" s="196"/>
      <c r="P23" s="196"/>
      <c r="Q23" s="185" t="s">
        <v>237</v>
      </c>
      <c r="R23" s="424">
        <f>'PA 5'!Q31</f>
        <v>0</v>
      </c>
    </row>
    <row r="24" spans="1:18" ht="3" customHeight="1" x14ac:dyDescent="0.25">
      <c r="A24" s="188"/>
      <c r="B24" s="182"/>
      <c r="C24" s="182"/>
      <c r="D24" s="182"/>
      <c r="E24" s="182"/>
      <c r="F24" s="199"/>
      <c r="G24" s="199"/>
      <c r="H24" s="199"/>
      <c r="I24" s="201"/>
      <c r="J24" s="199"/>
      <c r="K24" s="199"/>
      <c r="L24" s="199"/>
      <c r="M24" s="199"/>
      <c r="N24" s="199"/>
      <c r="O24" s="201"/>
      <c r="P24" s="201"/>
      <c r="Q24" s="185"/>
      <c r="R24" s="208"/>
    </row>
    <row r="25" spans="1:18" x14ac:dyDescent="0.25">
      <c r="A25" s="188"/>
      <c r="B25" s="182" t="s">
        <v>238</v>
      </c>
      <c r="C25" s="182"/>
      <c r="D25" s="182"/>
      <c r="E25" s="182"/>
      <c r="F25" s="194" t="s">
        <v>297</v>
      </c>
      <c r="G25" s="194"/>
      <c r="H25" s="194"/>
      <c r="I25" s="194"/>
      <c r="J25" s="194"/>
      <c r="K25" s="194"/>
      <c r="L25" s="194"/>
      <c r="M25" s="194"/>
      <c r="N25" s="194"/>
      <c r="O25" s="196"/>
      <c r="P25" s="196"/>
      <c r="Q25" s="185" t="s">
        <v>237</v>
      </c>
      <c r="R25" s="424"/>
    </row>
    <row r="26" spans="1:18" ht="3" customHeight="1" x14ac:dyDescent="0.25">
      <c r="A26" s="1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Q26" s="185"/>
      <c r="R26" s="209"/>
    </row>
    <row r="27" spans="1:18" x14ac:dyDescent="0.25">
      <c r="A27" s="188"/>
      <c r="B27" s="182" t="s">
        <v>240</v>
      </c>
      <c r="C27" s="182"/>
      <c r="D27" s="182"/>
      <c r="E27" s="182"/>
      <c r="F27" s="182" t="s">
        <v>298</v>
      </c>
      <c r="G27" s="182"/>
      <c r="H27" s="182"/>
      <c r="I27" s="182"/>
      <c r="J27" s="542"/>
      <c r="K27" s="542"/>
      <c r="L27" s="542"/>
      <c r="M27" s="542"/>
      <c r="N27" s="542"/>
      <c r="O27" s="542"/>
      <c r="P27" s="542"/>
      <c r="Q27" s="185" t="s">
        <v>237</v>
      </c>
      <c r="R27" s="424"/>
    </row>
    <row r="28" spans="1:18" ht="9.75" customHeight="1" x14ac:dyDescent="0.25">
      <c r="A28" s="188"/>
      <c r="B28" s="182"/>
      <c r="C28" s="182"/>
      <c r="D28" s="182"/>
      <c r="E28" s="182"/>
      <c r="F28" s="184" t="s">
        <v>242</v>
      </c>
      <c r="G28" s="184"/>
      <c r="H28" s="184"/>
      <c r="I28" s="182"/>
      <c r="J28" s="182"/>
      <c r="K28" s="182"/>
      <c r="L28" s="182"/>
      <c r="M28" s="182"/>
      <c r="N28" s="182"/>
      <c r="R28" s="210"/>
    </row>
    <row r="29" spans="1:18" x14ac:dyDescent="0.25">
      <c r="A29" s="188">
        <v>3</v>
      </c>
      <c r="B29" s="182" t="s">
        <v>243</v>
      </c>
      <c r="C29" s="182"/>
      <c r="D29" s="182"/>
      <c r="E29" s="182"/>
      <c r="F29" s="182"/>
      <c r="G29" s="182"/>
      <c r="H29" s="182"/>
      <c r="I29" s="182"/>
      <c r="J29" s="182"/>
      <c r="K29" s="184" t="s">
        <v>242</v>
      </c>
      <c r="M29" s="182"/>
      <c r="N29" s="182"/>
      <c r="Q29" s="185" t="s">
        <v>237</v>
      </c>
      <c r="R29" s="210"/>
    </row>
    <row r="30" spans="1:18" x14ac:dyDescent="0.25">
      <c r="A30" s="188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R30" s="424"/>
    </row>
    <row r="31" spans="1:18" ht="3" customHeight="1" x14ac:dyDescent="0.25">
      <c r="A31" s="18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R31" s="208"/>
    </row>
    <row r="32" spans="1:18" x14ac:dyDescent="0.25">
      <c r="A32" s="188">
        <v>4</v>
      </c>
      <c r="B32" s="182" t="s">
        <v>244</v>
      </c>
      <c r="C32" s="182"/>
      <c r="D32" s="182"/>
      <c r="E32" s="182"/>
      <c r="F32" s="182"/>
      <c r="G32" s="182"/>
      <c r="H32" s="182"/>
      <c r="I32" s="542"/>
      <c r="J32" s="542"/>
      <c r="K32" s="542"/>
      <c r="L32" s="542"/>
      <c r="M32" s="542"/>
      <c r="N32" s="542"/>
      <c r="O32" s="542"/>
      <c r="P32" s="542"/>
      <c r="Q32" s="185" t="s">
        <v>237</v>
      </c>
      <c r="R32" s="424"/>
    </row>
    <row r="33" spans="1:18" ht="9" customHeight="1" x14ac:dyDescent="0.25">
      <c r="A33" s="188"/>
      <c r="B33" s="184" t="s">
        <v>242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R33" s="210"/>
    </row>
    <row r="34" spans="1:18" x14ac:dyDescent="0.25">
      <c r="A34" s="188">
        <v>5</v>
      </c>
      <c r="B34" s="194" t="s">
        <v>245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6"/>
      <c r="P34" s="196"/>
      <c r="Q34" s="185" t="s">
        <v>237</v>
      </c>
      <c r="R34" s="424"/>
    </row>
    <row r="35" spans="1:18" ht="3" customHeight="1" x14ac:dyDescent="0.25">
      <c r="A35" s="18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Q35" s="185"/>
      <c r="R35" s="209"/>
    </row>
    <row r="36" spans="1:18" x14ac:dyDescent="0.25">
      <c r="A36" s="188">
        <v>6</v>
      </c>
      <c r="B36" s="194" t="s">
        <v>246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6"/>
      <c r="P36" s="196"/>
      <c r="Q36" s="185" t="s">
        <v>237</v>
      </c>
      <c r="R36" s="424"/>
    </row>
    <row r="37" spans="1:18" ht="3" customHeight="1" x14ac:dyDescent="0.25">
      <c r="A37" s="18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Q37" s="185"/>
      <c r="R37" s="209"/>
    </row>
    <row r="38" spans="1:18" x14ac:dyDescent="0.25">
      <c r="A38" s="188">
        <v>7</v>
      </c>
      <c r="B38" s="182" t="s">
        <v>247</v>
      </c>
      <c r="C38" s="182"/>
      <c r="D38" s="182"/>
      <c r="E38" s="182"/>
      <c r="F38" s="182"/>
      <c r="G38" s="182"/>
      <c r="H38" s="182"/>
      <c r="I38" s="542"/>
      <c r="J38" s="542"/>
      <c r="K38" s="542"/>
      <c r="L38" s="542"/>
      <c r="M38" s="542"/>
      <c r="N38" s="542"/>
      <c r="O38" s="542"/>
      <c r="P38" s="542"/>
      <c r="Q38" s="185" t="s">
        <v>237</v>
      </c>
      <c r="R38" s="424"/>
    </row>
    <row r="39" spans="1:18" ht="9" customHeight="1" x14ac:dyDescent="0.25">
      <c r="A39" s="188"/>
      <c r="B39" s="184" t="s">
        <v>242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R39" s="210"/>
    </row>
    <row r="40" spans="1:18" x14ac:dyDescent="0.25">
      <c r="A40" s="188">
        <v>8</v>
      </c>
      <c r="B40" s="194" t="s">
        <v>248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6"/>
      <c r="P40" s="196"/>
      <c r="Q40" s="185" t="s">
        <v>249</v>
      </c>
      <c r="R40" s="424">
        <f>SUM(R21:R39)</f>
        <v>0</v>
      </c>
    </row>
    <row r="41" spans="1:18" ht="3" customHeight="1" x14ac:dyDescent="0.25">
      <c r="A41" s="18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Q41" s="185"/>
      <c r="R41" s="209"/>
    </row>
    <row r="42" spans="1:18" x14ac:dyDescent="0.25">
      <c r="A42" s="188">
        <v>9</v>
      </c>
      <c r="B42" s="194" t="s">
        <v>250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6"/>
      <c r="P42" s="196"/>
      <c r="Q42" s="185" t="s">
        <v>36</v>
      </c>
      <c r="R42" s="424">
        <f>('PA 5'!Q40+'PA 5'!Q41+'PA 5'!Q42)*-1</f>
        <v>0</v>
      </c>
    </row>
    <row r="43" spans="1:18" ht="3" customHeight="1" x14ac:dyDescent="0.25">
      <c r="A43" s="188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Q43" s="185"/>
      <c r="R43" s="209"/>
    </row>
    <row r="44" spans="1:18" x14ac:dyDescent="0.25">
      <c r="A44" s="188">
        <v>10</v>
      </c>
      <c r="B44" s="182" t="s">
        <v>251</v>
      </c>
      <c r="C44" s="182"/>
      <c r="D44" s="182"/>
      <c r="E44" s="182" t="s">
        <v>252</v>
      </c>
      <c r="F44" s="182"/>
      <c r="G44" s="182"/>
      <c r="H44" s="194" t="s">
        <v>299</v>
      </c>
      <c r="I44" s="196"/>
      <c r="J44" s="194"/>
      <c r="K44" s="194"/>
      <c r="L44" s="194"/>
      <c r="M44" s="194"/>
      <c r="N44" s="194"/>
      <c r="O44" s="196"/>
      <c r="P44" s="196"/>
      <c r="Q44" s="185" t="s">
        <v>36</v>
      </c>
      <c r="R44" s="424">
        <f>'PA 5'!Q44*-1</f>
        <v>0</v>
      </c>
    </row>
    <row r="45" spans="1:18" x14ac:dyDescent="0.25">
      <c r="A45" s="188"/>
      <c r="B45" s="182" t="s">
        <v>254</v>
      </c>
      <c r="C45" s="182"/>
      <c r="D45" s="182"/>
      <c r="E45" s="182" t="s">
        <v>300</v>
      </c>
      <c r="F45" s="182"/>
      <c r="G45" s="182"/>
      <c r="H45" s="182"/>
      <c r="J45" s="182"/>
      <c r="K45" s="182"/>
      <c r="L45" s="182"/>
      <c r="M45" s="182"/>
      <c r="N45" s="182"/>
      <c r="R45" s="210"/>
    </row>
    <row r="46" spans="1:18" x14ac:dyDescent="0.25">
      <c r="A46" s="188"/>
      <c r="B46" s="182" t="s">
        <v>256</v>
      </c>
      <c r="C46" s="182"/>
      <c r="E46" s="182" t="s">
        <v>301</v>
      </c>
      <c r="H46" s="194" t="s">
        <v>302</v>
      </c>
      <c r="I46" s="196"/>
      <c r="J46" s="196"/>
      <c r="K46" s="196"/>
      <c r="L46" s="196"/>
      <c r="M46" s="196"/>
      <c r="N46" s="196"/>
      <c r="O46" s="196"/>
      <c r="P46" s="196"/>
      <c r="Q46" s="185" t="s">
        <v>36</v>
      </c>
      <c r="R46" s="424"/>
    </row>
    <row r="47" spans="1:18" ht="3" customHeight="1" x14ac:dyDescent="0.25">
      <c r="A47" s="188"/>
      <c r="B47" s="182"/>
      <c r="C47" s="182"/>
      <c r="E47" s="182"/>
      <c r="H47" s="182"/>
      <c r="Q47" s="185"/>
      <c r="R47" s="209"/>
    </row>
    <row r="48" spans="1:18" x14ac:dyDescent="0.25">
      <c r="A48" s="188">
        <v>11</v>
      </c>
      <c r="B48" s="197" t="s">
        <v>259</v>
      </c>
      <c r="C48" s="194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85" t="s">
        <v>249</v>
      </c>
      <c r="R48" s="424">
        <f>R40-SUM(R42:R46)</f>
        <v>0</v>
      </c>
    </row>
    <row r="49" spans="1:18" ht="9" customHeight="1" x14ac:dyDescent="0.25">
      <c r="A49" s="188"/>
      <c r="B49" s="189" t="s">
        <v>260</v>
      </c>
      <c r="C49" s="182"/>
      <c r="R49" s="210"/>
    </row>
    <row r="50" spans="1:18" x14ac:dyDescent="0.25">
      <c r="A50" s="188">
        <v>12</v>
      </c>
      <c r="B50" s="194" t="s">
        <v>261</v>
      </c>
      <c r="C50" s="194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R50" s="424">
        <f>'PA 5'!Q46*-1</f>
        <v>0</v>
      </c>
    </row>
    <row r="51" spans="1:18" x14ac:dyDescent="0.25">
      <c r="A51" s="188">
        <v>13</v>
      </c>
      <c r="B51" s="182" t="s">
        <v>262</v>
      </c>
      <c r="C51" s="182"/>
      <c r="R51" s="211"/>
    </row>
    <row r="52" spans="1:18" ht="9" customHeight="1" x14ac:dyDescent="0.25">
      <c r="B52" s="184" t="s">
        <v>263</v>
      </c>
      <c r="R52" s="211"/>
    </row>
    <row r="53" spans="1:18" ht="13.5" customHeight="1" x14ac:dyDescent="0.25">
      <c r="A53" s="551">
        <v>13.1</v>
      </c>
      <c r="B53" s="551"/>
      <c r="C53" s="553" t="s">
        <v>264</v>
      </c>
      <c r="D53" s="190" t="s">
        <v>265</v>
      </c>
      <c r="E53" s="194" t="s">
        <v>266</v>
      </c>
      <c r="F53" s="194"/>
      <c r="G53" s="194"/>
      <c r="H53" s="194"/>
      <c r="I53" s="196"/>
      <c r="J53" s="196"/>
      <c r="K53" s="196"/>
      <c r="L53" s="196"/>
      <c r="M53" s="196"/>
      <c r="N53" s="196"/>
      <c r="O53" s="196"/>
      <c r="P53" s="420" t="s">
        <v>209</v>
      </c>
      <c r="R53" s="426"/>
    </row>
    <row r="54" spans="1:18" ht="3" customHeight="1" x14ac:dyDescent="0.25">
      <c r="A54" s="203"/>
      <c r="B54" s="203"/>
      <c r="C54" s="553"/>
      <c r="D54" s="190"/>
      <c r="E54" s="182"/>
      <c r="F54" s="182"/>
      <c r="G54" s="182"/>
      <c r="H54" s="182"/>
      <c r="R54" s="212"/>
    </row>
    <row r="55" spans="1:18" x14ac:dyDescent="0.25">
      <c r="A55" s="188"/>
      <c r="B55" s="188"/>
      <c r="C55" s="553"/>
      <c r="D55" s="191" t="s">
        <v>267</v>
      </c>
      <c r="E55" s="182" t="s">
        <v>268</v>
      </c>
      <c r="F55" s="182"/>
      <c r="G55" s="182"/>
      <c r="H55" s="182"/>
      <c r="I55" s="543"/>
      <c r="J55" s="543"/>
      <c r="K55" s="543"/>
      <c r="L55" s="543"/>
      <c r="M55" s="543"/>
      <c r="N55" s="543"/>
      <c r="O55" s="543"/>
      <c r="P55" s="543"/>
      <c r="R55" s="426"/>
    </row>
    <row r="56" spans="1:18" ht="9" customHeight="1" x14ac:dyDescent="0.25">
      <c r="A56" s="188"/>
      <c r="B56" s="188"/>
      <c r="C56" s="553"/>
      <c r="D56" s="192"/>
      <c r="E56" s="187" t="s">
        <v>242</v>
      </c>
      <c r="R56" s="211"/>
    </row>
    <row r="57" spans="1:18" x14ac:dyDescent="0.25">
      <c r="A57" s="552">
        <v>13.2</v>
      </c>
      <c r="B57" s="552"/>
      <c r="C57" s="182" t="s">
        <v>269</v>
      </c>
      <c r="D57" s="191" t="s">
        <v>270</v>
      </c>
      <c r="E57" s="194" t="s">
        <v>271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R57" s="426"/>
    </row>
    <row r="58" spans="1:18" ht="3" customHeight="1" x14ac:dyDescent="0.25">
      <c r="A58" s="204"/>
      <c r="B58" s="204"/>
      <c r="C58" s="182"/>
      <c r="D58" s="191"/>
      <c r="E58" s="182"/>
      <c r="R58" s="213"/>
    </row>
    <row r="59" spans="1:18" x14ac:dyDescent="0.25">
      <c r="A59" s="188"/>
      <c r="B59" s="188"/>
      <c r="C59" s="182" t="s">
        <v>272</v>
      </c>
      <c r="D59" s="191" t="s">
        <v>273</v>
      </c>
      <c r="E59" s="194" t="s">
        <v>274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R59" s="426"/>
    </row>
    <row r="60" spans="1:18" ht="3" customHeight="1" x14ac:dyDescent="0.25">
      <c r="A60" s="188"/>
      <c r="B60" s="188"/>
      <c r="C60" s="182"/>
      <c r="D60" s="191"/>
      <c r="E60" s="182"/>
      <c r="I60" s="201"/>
      <c r="J60" s="201"/>
      <c r="K60" s="201"/>
      <c r="L60" s="201"/>
      <c r="M60" s="201"/>
      <c r="N60" s="201"/>
      <c r="O60" s="201"/>
      <c r="P60" s="201"/>
      <c r="R60" s="213"/>
    </row>
    <row r="61" spans="1:18" x14ac:dyDescent="0.25">
      <c r="A61" s="188"/>
      <c r="B61" s="188"/>
      <c r="C61" s="182" t="s">
        <v>275</v>
      </c>
      <c r="D61" s="191" t="s">
        <v>276</v>
      </c>
      <c r="E61" s="182" t="s">
        <v>268</v>
      </c>
      <c r="I61" s="543"/>
      <c r="J61" s="543"/>
      <c r="K61" s="543"/>
      <c r="L61" s="543"/>
      <c r="M61" s="543"/>
      <c r="N61" s="543"/>
      <c r="O61" s="543"/>
      <c r="P61" s="543"/>
      <c r="R61" s="426"/>
    </row>
    <row r="62" spans="1:18" ht="9" customHeight="1" x14ac:dyDescent="0.25">
      <c r="B62" s="182"/>
      <c r="C62" s="182"/>
      <c r="E62" s="187" t="s">
        <v>242</v>
      </c>
      <c r="R62" s="211"/>
    </row>
    <row r="63" spans="1:18" x14ac:dyDescent="0.25">
      <c r="A63" s="551">
        <v>13.3</v>
      </c>
      <c r="B63" s="551"/>
      <c r="C63" s="194" t="s">
        <v>277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R63" s="426"/>
    </row>
    <row r="64" spans="1:18" ht="3" customHeight="1" x14ac:dyDescent="0.25">
      <c r="A64" s="203"/>
      <c r="B64" s="203"/>
      <c r="C64" s="182"/>
    </row>
    <row r="65" spans="1:18" x14ac:dyDescent="0.25">
      <c r="A65" s="188">
        <v>14</v>
      </c>
      <c r="B65" s="182" t="s">
        <v>278</v>
      </c>
      <c r="C65" s="182"/>
      <c r="F65" s="182" t="s">
        <v>279</v>
      </c>
      <c r="G65" s="182"/>
      <c r="H65" s="182"/>
      <c r="I65" s="543"/>
      <c r="J65" s="543"/>
      <c r="K65" s="543"/>
      <c r="L65" s="543"/>
      <c r="M65" s="543"/>
      <c r="N65" s="543"/>
      <c r="O65" s="543"/>
      <c r="P65" s="543"/>
      <c r="Q65" s="543"/>
      <c r="R65" s="543"/>
    </row>
    <row r="66" spans="1:18" ht="3" customHeight="1" x14ac:dyDescent="0.25">
      <c r="A66" s="188"/>
      <c r="B66" s="182"/>
      <c r="C66" s="182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5">
      <c r="A67" s="188"/>
      <c r="B67" s="182" t="s">
        <v>280</v>
      </c>
      <c r="C67" s="182"/>
      <c r="F67" s="182" t="s">
        <v>281</v>
      </c>
      <c r="G67" s="182"/>
      <c r="H67" s="182"/>
      <c r="I67" s="543"/>
      <c r="J67" s="543"/>
      <c r="K67" s="543"/>
      <c r="L67" s="543"/>
      <c r="M67" s="543"/>
      <c r="N67" s="543"/>
      <c r="O67" s="543"/>
      <c r="P67" s="543"/>
      <c r="Q67" s="543"/>
      <c r="R67" s="543"/>
    </row>
    <row r="68" spans="1:18" ht="3" customHeight="1" x14ac:dyDescent="0.25">
      <c r="A68" s="188"/>
      <c r="B68" s="182"/>
      <c r="C68" s="182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5">
      <c r="A69" s="188"/>
      <c r="B69" s="182" t="s">
        <v>282</v>
      </c>
      <c r="C69" s="182"/>
      <c r="F69" s="182" t="s">
        <v>283</v>
      </c>
      <c r="G69" s="182"/>
      <c r="H69" s="182"/>
      <c r="I69" s="543"/>
      <c r="J69" s="543"/>
      <c r="K69" s="543"/>
      <c r="L69" s="543"/>
      <c r="M69" s="543"/>
      <c r="N69" s="543"/>
      <c r="O69" s="543"/>
      <c r="P69" s="543"/>
      <c r="Q69" s="543"/>
      <c r="R69" s="543"/>
    </row>
    <row r="70" spans="1:18" ht="3" customHeight="1" x14ac:dyDescent="0.25">
      <c r="A70" s="188"/>
      <c r="B70" s="182"/>
      <c r="C70" s="182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5">
      <c r="A71" s="188">
        <v>15</v>
      </c>
      <c r="B71" s="182" t="s">
        <v>284</v>
      </c>
      <c r="C71" s="182"/>
      <c r="D71" s="545" t="str">
        <f>IF('PA 5'!L7&lt;100%,"Taux d'occupation "&amp;('PA 5'!L7+'PA 5'!L12)*100&amp;"%","")</f>
        <v>Taux d'occupation 0%</v>
      </c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</row>
    <row r="72" spans="1:18" ht="3" customHeight="1" x14ac:dyDescent="0.25">
      <c r="A72" s="188"/>
      <c r="B72" s="182"/>
      <c r="C72" s="182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x14ac:dyDescent="0.25">
      <c r="A73" s="188"/>
      <c r="B73" s="182" t="s">
        <v>285</v>
      </c>
      <c r="C73" s="182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</row>
    <row r="74" spans="1:18" ht="3" customHeight="1" x14ac:dyDescent="0.25">
      <c r="A74" s="188"/>
      <c r="B74" s="182"/>
      <c r="C74" s="182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x14ac:dyDescent="0.25">
      <c r="A75" s="188"/>
      <c r="B75" s="182" t="s">
        <v>286</v>
      </c>
      <c r="C75" s="182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</row>
    <row r="76" spans="1:18" x14ac:dyDescent="0.25">
      <c r="A76" s="188"/>
      <c r="B76" s="182"/>
      <c r="C76" s="182"/>
    </row>
    <row r="77" spans="1:18" x14ac:dyDescent="0.25">
      <c r="A77" s="188" t="s">
        <v>287</v>
      </c>
      <c r="B77" s="182" t="s">
        <v>288</v>
      </c>
      <c r="C77" s="182"/>
      <c r="F77" s="182" t="s">
        <v>289</v>
      </c>
      <c r="G77" s="182"/>
      <c r="M77" s="554">
        <f>'Attestation du salaire (ord.)'!A8:A8</f>
        <v>0</v>
      </c>
      <c r="N77" s="554"/>
      <c r="O77" s="554"/>
      <c r="P77" s="554"/>
      <c r="Q77" s="554"/>
      <c r="R77" s="554"/>
    </row>
    <row r="78" spans="1:18" ht="9" customHeight="1" x14ac:dyDescent="0.25">
      <c r="B78" s="182"/>
      <c r="C78" s="182"/>
      <c r="F78" s="184" t="s">
        <v>290</v>
      </c>
      <c r="G78" s="184"/>
      <c r="M78" s="214"/>
      <c r="N78" s="214"/>
      <c r="O78" s="214"/>
      <c r="P78" s="214"/>
      <c r="Q78" s="214"/>
      <c r="R78" s="214"/>
    </row>
    <row r="79" spans="1:18" ht="13.5" customHeight="1" x14ac:dyDescent="0.25">
      <c r="B79" s="182"/>
      <c r="C79" s="182"/>
      <c r="F79" s="182" t="s">
        <v>291</v>
      </c>
      <c r="G79" s="182"/>
      <c r="M79" s="554">
        <f>'Attestation du salaire (ord.)'!A9:A9</f>
        <v>0</v>
      </c>
      <c r="N79" s="554"/>
      <c r="O79" s="554"/>
      <c r="P79" s="554"/>
      <c r="Q79" s="554"/>
      <c r="R79" s="554"/>
    </row>
    <row r="80" spans="1:18" ht="9" customHeight="1" x14ac:dyDescent="0.25">
      <c r="B80" s="182"/>
      <c r="C80" s="182"/>
      <c r="F80" s="184" t="s">
        <v>292</v>
      </c>
      <c r="G80" s="184"/>
      <c r="M80" s="214"/>
      <c r="N80" s="214"/>
      <c r="O80" s="214"/>
      <c r="P80" s="214"/>
      <c r="Q80" s="214"/>
      <c r="R80" s="214"/>
    </row>
    <row r="81" spans="2:18" ht="13.5" customHeight="1" x14ac:dyDescent="0.25">
      <c r="B81" s="182"/>
      <c r="C81" s="182"/>
      <c r="F81" s="182" t="s">
        <v>293</v>
      </c>
      <c r="G81" s="182"/>
      <c r="M81" s="554">
        <f>'Attestation du salaire (ord.)'!A10:A10</f>
        <v>0</v>
      </c>
      <c r="N81" s="554"/>
      <c r="O81" s="554"/>
      <c r="P81" s="554"/>
      <c r="Q81" s="554"/>
      <c r="R81" s="554"/>
    </row>
    <row r="82" spans="2:18" ht="9" customHeight="1" x14ac:dyDescent="0.25">
      <c r="B82" s="182"/>
      <c r="C82" s="182"/>
      <c r="F82" s="184" t="s">
        <v>294</v>
      </c>
      <c r="G82" s="184"/>
      <c r="M82" s="215"/>
      <c r="N82" s="215"/>
      <c r="O82" s="215"/>
      <c r="P82" s="215"/>
      <c r="Q82" s="215"/>
      <c r="R82" s="215"/>
    </row>
    <row r="83" spans="2:18" ht="13.5" customHeight="1" x14ac:dyDescent="0.25">
      <c r="B83" s="182"/>
      <c r="C83" s="182"/>
      <c r="I83" s="182"/>
      <c r="M83" s="554" t="str">
        <f>'CS 1'!M83:R83</f>
        <v>Entrez le numéro de téléphone ici</v>
      </c>
      <c r="N83" s="554"/>
      <c r="O83" s="554"/>
      <c r="P83" s="554"/>
      <c r="Q83" s="554"/>
      <c r="R83" s="554"/>
    </row>
    <row r="84" spans="2:18" x14ac:dyDescent="0.25">
      <c r="B84" s="182"/>
      <c r="C84" s="182"/>
    </row>
  </sheetData>
  <sheetProtection algorithmName="SHA-512" hashValue="F+2gei6RGrG6dVX7gqVxnyYeqmYS09Uh7veJia2MWZYyokVUoxY7YFZpt+AM+ZfnsmKPxQYuBmNLALnV1s8/mw==" saltValue="LbiIPP8KmidL7ywJP/tyDg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2" bestFit="1" customWidth="1"/>
    <col min="2" max="2" width="3.28515625" style="183" customWidth="1"/>
    <col min="3" max="3" width="12" style="183" customWidth="1"/>
    <col min="4" max="4" width="7.42578125" style="183" customWidth="1"/>
    <col min="5" max="5" width="1.85546875" style="183" customWidth="1"/>
    <col min="6" max="6" width="10.28515625" style="183" customWidth="1"/>
    <col min="7" max="7" width="1.7109375" style="183" customWidth="1"/>
    <col min="8" max="9" width="5.7109375" style="183" customWidth="1"/>
    <col min="10" max="11" width="6.28515625" style="183" customWidth="1"/>
    <col min="12" max="12" width="4" style="183" customWidth="1"/>
    <col min="13" max="13" width="2.140625" style="183" bestFit="1" customWidth="1"/>
    <col min="14" max="14" width="2.7109375" style="183" customWidth="1"/>
    <col min="15" max="15" width="14.7109375" style="183" customWidth="1"/>
    <col min="16" max="16" width="2.7109375" style="183" customWidth="1"/>
    <col min="17" max="17" width="1.7109375" style="183" customWidth="1"/>
    <col min="18" max="18" width="14.140625" style="183" customWidth="1"/>
    <col min="19" max="16384" width="11.42578125" style="183"/>
  </cols>
  <sheetData>
    <row r="1" spans="1:18" ht="18.75" x14ac:dyDescent="0.4">
      <c r="A1" s="188" t="s">
        <v>208</v>
      </c>
      <c r="B1" s="420" t="s">
        <v>209</v>
      </c>
      <c r="C1" s="207" t="s">
        <v>210</v>
      </c>
    </row>
    <row r="2" spans="1:18" ht="3" customHeight="1" x14ac:dyDescent="0.4">
      <c r="A2" s="188"/>
      <c r="C2" s="207"/>
    </row>
    <row r="3" spans="1:18" ht="18.75" x14ac:dyDescent="0.4">
      <c r="A3" s="188" t="s">
        <v>211</v>
      </c>
      <c r="B3" s="421"/>
      <c r="C3" s="207" t="s">
        <v>212</v>
      </c>
    </row>
    <row r="4" spans="1:18" ht="9" customHeight="1" x14ac:dyDescent="0.25">
      <c r="A4" s="188"/>
      <c r="C4" s="192"/>
    </row>
    <row r="5" spans="1:18" ht="13.5" customHeight="1" x14ac:dyDescent="0.25">
      <c r="A5" s="188" t="s">
        <v>213</v>
      </c>
      <c r="B5" s="546" t="str">
        <f>IF('PA 6'!$F$6="","",'PA 6'!$F$6)</f>
        <v/>
      </c>
      <c r="C5" s="546"/>
      <c r="D5" s="546"/>
      <c r="E5" s="546"/>
      <c r="F5" s="546"/>
      <c r="H5" s="547" cm="1">
        <f t="array" ref="H5">'PA 6'!F7:F7</f>
        <v>0</v>
      </c>
      <c r="I5" s="547"/>
      <c r="J5" s="547"/>
      <c r="K5" s="547"/>
      <c r="M5" s="193" t="s">
        <v>214</v>
      </c>
      <c r="N5" s="421"/>
      <c r="O5" s="549" t="s">
        <v>215</v>
      </c>
      <c r="P5" s="549"/>
      <c r="Q5" s="549"/>
      <c r="R5" s="549"/>
    </row>
    <row r="6" spans="1:18" x14ac:dyDescent="0.25">
      <c r="A6" s="188"/>
      <c r="B6" s="187" t="s">
        <v>216</v>
      </c>
      <c r="C6" s="198"/>
      <c r="D6" s="187"/>
      <c r="E6" s="198"/>
      <c r="F6" s="187"/>
      <c r="G6" s="187"/>
      <c r="H6" s="187" t="s">
        <v>217</v>
      </c>
      <c r="M6" s="193"/>
      <c r="O6" s="549"/>
      <c r="P6" s="549"/>
      <c r="Q6" s="549"/>
      <c r="R6" s="549"/>
    </row>
    <row r="7" spans="1:18" ht="13.5" customHeight="1" x14ac:dyDescent="0.25">
      <c r="A7" s="188" t="s">
        <v>218</v>
      </c>
      <c r="B7" s="548">
        <f>'PA 6'!A21</f>
        <v>45657</v>
      </c>
      <c r="C7" s="548"/>
      <c r="E7" s="188" t="s">
        <v>219</v>
      </c>
      <c r="F7" s="422">
        <f>IF('PA 6'!$Q$37=0,0,IF('PA 6'!$C$14&lt;'PA 6'!$C$21,'PA 6'!$C$21,'PA 6'!$C$14))</f>
        <v>0</v>
      </c>
      <c r="G7" s="422"/>
      <c r="H7" s="1"/>
      <c r="I7" s="547">
        <f>IF('PA 6'!$Q$37=0,0,IF('PA 6'!$C$15&gt;0,'PA 6'!$C$15,B7))</f>
        <v>0</v>
      </c>
      <c r="J7" s="547"/>
      <c r="M7" s="193" t="s">
        <v>220</v>
      </c>
      <c r="N7" s="421"/>
      <c r="O7" s="549" t="s">
        <v>221</v>
      </c>
      <c r="P7" s="549"/>
      <c r="Q7" s="549"/>
      <c r="R7" s="549"/>
    </row>
    <row r="8" spans="1:18" x14ac:dyDescent="0.25">
      <c r="A8" s="188"/>
      <c r="B8" s="187" t="s">
        <v>222</v>
      </c>
      <c r="C8" s="187"/>
      <c r="D8" s="187"/>
      <c r="E8" s="187"/>
      <c r="F8" s="187" t="s">
        <v>223</v>
      </c>
      <c r="G8" s="187"/>
      <c r="H8" s="187"/>
      <c r="I8" s="187" t="s">
        <v>224</v>
      </c>
      <c r="M8" s="193"/>
      <c r="O8" s="549"/>
      <c r="P8" s="549"/>
      <c r="Q8" s="549"/>
      <c r="R8" s="549"/>
    </row>
    <row r="9" spans="1:18" x14ac:dyDescent="0.25">
      <c r="A9" s="188" t="s">
        <v>225</v>
      </c>
    </row>
    <row r="10" spans="1:18" x14ac:dyDescent="0.25">
      <c r="A10" s="188"/>
    </row>
    <row r="11" spans="1:18" x14ac:dyDescent="0.25">
      <c r="A11" s="188"/>
      <c r="L11" s="1" t="str">
        <f>CONCATENATE('PA 6'!C6:C6," ",'PA 6'!C7:C7)</f>
        <v xml:space="preserve"> </v>
      </c>
    </row>
    <row r="12" spans="1:18" x14ac:dyDescent="0.25">
      <c r="A12" s="188"/>
      <c r="L12" s="1">
        <f>'PA 6'!C8:C8</f>
        <v>0</v>
      </c>
    </row>
    <row r="13" spans="1:18" x14ac:dyDescent="0.25">
      <c r="A13" s="188"/>
      <c r="L13" s="1">
        <f>'PA 6'!C9:C9</f>
        <v>0</v>
      </c>
    </row>
    <row r="14" spans="1:18" x14ac:dyDescent="0.25">
      <c r="A14" s="188"/>
    </row>
    <row r="15" spans="1:18" x14ac:dyDescent="0.25">
      <c r="A15" s="188"/>
    </row>
    <row r="16" spans="1:18" x14ac:dyDescent="0.25">
      <c r="A16" s="188"/>
    </row>
    <row r="17" spans="1:18" x14ac:dyDescent="0.25">
      <c r="A17" s="188"/>
    </row>
    <row r="18" spans="1:18" ht="13.5" customHeight="1" x14ac:dyDescent="0.25">
      <c r="A18" s="188"/>
      <c r="R18" s="550" t="s">
        <v>226</v>
      </c>
    </row>
    <row r="19" spans="1:18" x14ac:dyDescent="0.25">
      <c r="A19" s="188">
        <v>1</v>
      </c>
      <c r="B19" s="182" t="s">
        <v>227</v>
      </c>
      <c r="C19" s="182"/>
      <c r="D19" s="182" t="s">
        <v>228</v>
      </c>
      <c r="E19" s="182"/>
      <c r="F19" s="182"/>
      <c r="G19" s="182"/>
      <c r="H19" s="182"/>
      <c r="I19" s="182"/>
      <c r="J19" s="186" t="s">
        <v>229</v>
      </c>
      <c r="K19" s="186"/>
      <c r="L19" s="182"/>
      <c r="M19" s="182"/>
      <c r="N19" s="182"/>
      <c r="Q19" s="206"/>
      <c r="R19" s="550"/>
    </row>
    <row r="20" spans="1:18" x14ac:dyDescent="0.25">
      <c r="A20" s="188"/>
      <c r="B20" s="182" t="s">
        <v>230</v>
      </c>
      <c r="C20" s="182"/>
      <c r="D20" s="182" t="s">
        <v>231</v>
      </c>
      <c r="E20" s="182"/>
      <c r="F20" s="182"/>
      <c r="G20" s="182"/>
      <c r="H20" s="182"/>
      <c r="I20" s="182"/>
      <c r="J20" s="186" t="s">
        <v>229</v>
      </c>
      <c r="K20" s="186"/>
      <c r="L20" s="182"/>
      <c r="M20" s="182"/>
      <c r="N20" s="182"/>
      <c r="Q20" s="206"/>
      <c r="R20" s="550"/>
    </row>
    <row r="21" spans="1:18" x14ac:dyDescent="0.25">
      <c r="A21" s="188"/>
      <c r="B21" s="194" t="s">
        <v>232</v>
      </c>
      <c r="C21" s="194"/>
      <c r="D21" s="194" t="s">
        <v>233</v>
      </c>
      <c r="E21" s="194"/>
      <c r="F21" s="194"/>
      <c r="G21" s="194"/>
      <c r="H21" s="194"/>
      <c r="I21" s="194"/>
      <c r="J21" s="195" t="s">
        <v>234</v>
      </c>
      <c r="K21" s="195"/>
      <c r="L21" s="194"/>
      <c r="M21" s="194"/>
      <c r="N21" s="194"/>
      <c r="O21" s="196"/>
      <c r="P21" s="196"/>
      <c r="R21" s="423">
        <f>'PA 6'!Q37-'PA 6'!Q31</f>
        <v>0</v>
      </c>
    </row>
    <row r="22" spans="1:18" ht="3" customHeight="1" x14ac:dyDescent="0.25">
      <c r="A22" s="188"/>
      <c r="B22" s="182"/>
      <c r="C22" s="182"/>
      <c r="D22" s="182"/>
      <c r="E22" s="182"/>
      <c r="F22" s="199"/>
      <c r="G22" s="199"/>
      <c r="H22" s="199"/>
      <c r="I22" s="199"/>
      <c r="J22" s="200"/>
      <c r="K22" s="200"/>
      <c r="L22" s="199"/>
      <c r="M22" s="199"/>
      <c r="N22" s="199"/>
      <c r="O22" s="201"/>
      <c r="P22" s="201"/>
      <c r="R22" s="208"/>
    </row>
    <row r="23" spans="1:18" x14ac:dyDescent="0.25">
      <c r="A23" s="188">
        <v>2</v>
      </c>
      <c r="B23" s="182" t="s">
        <v>235</v>
      </c>
      <c r="C23" s="182"/>
      <c r="D23" s="182"/>
      <c r="E23" s="182"/>
      <c r="F23" s="194" t="s">
        <v>296</v>
      </c>
      <c r="G23" s="194"/>
      <c r="H23" s="194"/>
      <c r="I23" s="196"/>
      <c r="J23" s="194"/>
      <c r="K23" s="194"/>
      <c r="L23" s="194"/>
      <c r="M23" s="194"/>
      <c r="N23" s="194"/>
      <c r="O23" s="196"/>
      <c r="P23" s="196"/>
      <c r="Q23" s="185" t="s">
        <v>237</v>
      </c>
      <c r="R23" s="424">
        <f>'PA 6'!Q31</f>
        <v>0</v>
      </c>
    </row>
    <row r="24" spans="1:18" ht="3" customHeight="1" x14ac:dyDescent="0.25">
      <c r="A24" s="188"/>
      <c r="B24" s="182"/>
      <c r="C24" s="182"/>
      <c r="D24" s="182"/>
      <c r="E24" s="182"/>
      <c r="F24" s="199"/>
      <c r="G24" s="199"/>
      <c r="H24" s="199"/>
      <c r="I24" s="201"/>
      <c r="J24" s="199"/>
      <c r="K24" s="199"/>
      <c r="L24" s="199"/>
      <c r="M24" s="199"/>
      <c r="N24" s="199"/>
      <c r="O24" s="201"/>
      <c r="P24" s="201"/>
      <c r="Q24" s="185"/>
      <c r="R24" s="208"/>
    </row>
    <row r="25" spans="1:18" x14ac:dyDescent="0.25">
      <c r="A25" s="188"/>
      <c r="B25" s="182" t="s">
        <v>238</v>
      </c>
      <c r="C25" s="182"/>
      <c r="D25" s="182"/>
      <c r="E25" s="182"/>
      <c r="F25" s="194" t="s">
        <v>297</v>
      </c>
      <c r="G25" s="194"/>
      <c r="H25" s="194"/>
      <c r="I25" s="194"/>
      <c r="J25" s="194"/>
      <c r="K25" s="194"/>
      <c r="L25" s="194"/>
      <c r="M25" s="194"/>
      <c r="N25" s="194"/>
      <c r="O25" s="196"/>
      <c r="P25" s="196"/>
      <c r="Q25" s="185" t="s">
        <v>237</v>
      </c>
      <c r="R25" s="424"/>
    </row>
    <row r="26" spans="1:18" ht="3" customHeight="1" x14ac:dyDescent="0.25">
      <c r="A26" s="1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Q26" s="185"/>
      <c r="R26" s="209"/>
    </row>
    <row r="27" spans="1:18" x14ac:dyDescent="0.25">
      <c r="A27" s="188"/>
      <c r="B27" s="182" t="s">
        <v>240</v>
      </c>
      <c r="C27" s="182"/>
      <c r="D27" s="182"/>
      <c r="E27" s="182"/>
      <c r="F27" s="182" t="s">
        <v>298</v>
      </c>
      <c r="G27" s="182"/>
      <c r="H27" s="182"/>
      <c r="I27" s="182"/>
      <c r="J27" s="542"/>
      <c r="K27" s="542"/>
      <c r="L27" s="542"/>
      <c r="M27" s="542"/>
      <c r="N27" s="542"/>
      <c r="O27" s="542"/>
      <c r="P27" s="542"/>
      <c r="Q27" s="185" t="s">
        <v>237</v>
      </c>
      <c r="R27" s="424"/>
    </row>
    <row r="28" spans="1:18" ht="9.75" customHeight="1" x14ac:dyDescent="0.25">
      <c r="A28" s="188"/>
      <c r="B28" s="182"/>
      <c r="C28" s="182"/>
      <c r="D28" s="182"/>
      <c r="E28" s="182"/>
      <c r="F28" s="184" t="s">
        <v>242</v>
      </c>
      <c r="G28" s="184"/>
      <c r="H28" s="184"/>
      <c r="I28" s="182"/>
      <c r="J28" s="182"/>
      <c r="K28" s="182"/>
      <c r="L28" s="182"/>
      <c r="M28" s="182"/>
      <c r="N28" s="182"/>
      <c r="R28" s="210"/>
    </row>
    <row r="29" spans="1:18" x14ac:dyDescent="0.25">
      <c r="A29" s="188">
        <v>3</v>
      </c>
      <c r="B29" s="182" t="s">
        <v>243</v>
      </c>
      <c r="C29" s="182"/>
      <c r="D29" s="182"/>
      <c r="E29" s="182"/>
      <c r="F29" s="182"/>
      <c r="G29" s="182"/>
      <c r="H29" s="182"/>
      <c r="I29" s="182"/>
      <c r="J29" s="182"/>
      <c r="K29" s="184" t="s">
        <v>242</v>
      </c>
      <c r="M29" s="182"/>
      <c r="N29" s="182"/>
      <c r="Q29" s="185" t="s">
        <v>237</v>
      </c>
      <c r="R29" s="210"/>
    </row>
    <row r="30" spans="1:18" x14ac:dyDescent="0.25">
      <c r="A30" s="188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R30" s="424"/>
    </row>
    <row r="31" spans="1:18" ht="3" customHeight="1" x14ac:dyDescent="0.25">
      <c r="A31" s="18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R31" s="208"/>
    </row>
    <row r="32" spans="1:18" x14ac:dyDescent="0.25">
      <c r="A32" s="188">
        <v>4</v>
      </c>
      <c r="B32" s="182" t="s">
        <v>244</v>
      </c>
      <c r="C32" s="182"/>
      <c r="D32" s="182"/>
      <c r="E32" s="182"/>
      <c r="F32" s="182"/>
      <c r="G32" s="182"/>
      <c r="H32" s="182"/>
      <c r="I32" s="542"/>
      <c r="J32" s="542"/>
      <c r="K32" s="542"/>
      <c r="L32" s="542"/>
      <c r="M32" s="542"/>
      <c r="N32" s="542"/>
      <c r="O32" s="542"/>
      <c r="P32" s="542"/>
      <c r="Q32" s="185" t="s">
        <v>237</v>
      </c>
      <c r="R32" s="424"/>
    </row>
    <row r="33" spans="1:18" ht="9" customHeight="1" x14ac:dyDescent="0.25">
      <c r="A33" s="188"/>
      <c r="B33" s="184" t="s">
        <v>242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R33" s="210"/>
    </row>
    <row r="34" spans="1:18" x14ac:dyDescent="0.25">
      <c r="A34" s="188">
        <v>5</v>
      </c>
      <c r="B34" s="194" t="s">
        <v>245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6"/>
      <c r="P34" s="196"/>
      <c r="Q34" s="185" t="s">
        <v>237</v>
      </c>
      <c r="R34" s="424"/>
    </row>
    <row r="35" spans="1:18" ht="3" customHeight="1" x14ac:dyDescent="0.25">
      <c r="A35" s="18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Q35" s="185"/>
      <c r="R35" s="209"/>
    </row>
    <row r="36" spans="1:18" x14ac:dyDescent="0.25">
      <c r="A36" s="188">
        <v>6</v>
      </c>
      <c r="B36" s="194" t="s">
        <v>246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6"/>
      <c r="P36" s="196"/>
      <c r="Q36" s="185" t="s">
        <v>237</v>
      </c>
      <c r="R36" s="424"/>
    </row>
    <row r="37" spans="1:18" ht="3" customHeight="1" x14ac:dyDescent="0.25">
      <c r="A37" s="18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Q37" s="185"/>
      <c r="R37" s="209"/>
    </row>
    <row r="38" spans="1:18" x14ac:dyDescent="0.25">
      <c r="A38" s="188">
        <v>7</v>
      </c>
      <c r="B38" s="182" t="s">
        <v>247</v>
      </c>
      <c r="C38" s="182"/>
      <c r="D38" s="182"/>
      <c r="E38" s="182"/>
      <c r="F38" s="182"/>
      <c r="G38" s="182"/>
      <c r="H38" s="182"/>
      <c r="I38" s="542"/>
      <c r="J38" s="542"/>
      <c r="K38" s="542"/>
      <c r="L38" s="542"/>
      <c r="M38" s="542"/>
      <c r="N38" s="542"/>
      <c r="O38" s="542"/>
      <c r="P38" s="542"/>
      <c r="Q38" s="185" t="s">
        <v>237</v>
      </c>
      <c r="R38" s="424"/>
    </row>
    <row r="39" spans="1:18" ht="9" customHeight="1" x14ac:dyDescent="0.25">
      <c r="A39" s="188"/>
      <c r="B39" s="184" t="s">
        <v>242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R39" s="210"/>
    </row>
    <row r="40" spans="1:18" x14ac:dyDescent="0.25">
      <c r="A40" s="188">
        <v>8</v>
      </c>
      <c r="B40" s="194" t="s">
        <v>248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6"/>
      <c r="P40" s="196"/>
      <c r="Q40" s="185" t="s">
        <v>249</v>
      </c>
      <c r="R40" s="424">
        <f>SUM(R21:R39)</f>
        <v>0</v>
      </c>
    </row>
    <row r="41" spans="1:18" ht="3" customHeight="1" x14ac:dyDescent="0.25">
      <c r="A41" s="18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Q41" s="185"/>
      <c r="R41" s="209"/>
    </row>
    <row r="42" spans="1:18" x14ac:dyDescent="0.25">
      <c r="A42" s="188">
        <v>9</v>
      </c>
      <c r="B42" s="194" t="s">
        <v>250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6"/>
      <c r="P42" s="196"/>
      <c r="Q42" s="185" t="s">
        <v>36</v>
      </c>
      <c r="R42" s="424">
        <f>('PA 6'!Q40+'PA 6'!Q41+'PA 6'!Q42)*-1</f>
        <v>0</v>
      </c>
    </row>
    <row r="43" spans="1:18" ht="3" customHeight="1" x14ac:dyDescent="0.25">
      <c r="A43" s="188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Q43" s="185"/>
      <c r="R43" s="209"/>
    </row>
    <row r="44" spans="1:18" x14ac:dyDescent="0.25">
      <c r="A44" s="188">
        <v>10</v>
      </c>
      <c r="B44" s="182" t="s">
        <v>251</v>
      </c>
      <c r="C44" s="182"/>
      <c r="D44" s="182"/>
      <c r="E44" s="182" t="s">
        <v>252</v>
      </c>
      <c r="F44" s="182"/>
      <c r="G44" s="182"/>
      <c r="H44" s="194" t="s">
        <v>299</v>
      </c>
      <c r="I44" s="196"/>
      <c r="J44" s="194"/>
      <c r="K44" s="194"/>
      <c r="L44" s="194"/>
      <c r="M44" s="194"/>
      <c r="N44" s="194"/>
      <c r="O44" s="196"/>
      <c r="P44" s="196"/>
      <c r="Q44" s="185" t="s">
        <v>36</v>
      </c>
      <c r="R44" s="424">
        <f>'PA 6'!Q44*-1</f>
        <v>0</v>
      </c>
    </row>
    <row r="45" spans="1:18" x14ac:dyDescent="0.25">
      <c r="A45" s="188"/>
      <c r="B45" s="182" t="s">
        <v>254</v>
      </c>
      <c r="C45" s="182"/>
      <c r="D45" s="182"/>
      <c r="E45" s="182" t="s">
        <v>300</v>
      </c>
      <c r="F45" s="182"/>
      <c r="G45" s="182"/>
      <c r="H45" s="182"/>
      <c r="J45" s="182"/>
      <c r="K45" s="182"/>
      <c r="L45" s="182"/>
      <c r="M45" s="182"/>
      <c r="N45" s="182"/>
      <c r="R45" s="210"/>
    </row>
    <row r="46" spans="1:18" x14ac:dyDescent="0.25">
      <c r="A46" s="188"/>
      <c r="B46" s="182" t="s">
        <v>256</v>
      </c>
      <c r="C46" s="182"/>
      <c r="E46" s="182" t="s">
        <v>301</v>
      </c>
      <c r="H46" s="194" t="s">
        <v>302</v>
      </c>
      <c r="I46" s="196"/>
      <c r="J46" s="196"/>
      <c r="K46" s="196"/>
      <c r="L46" s="196"/>
      <c r="M46" s="196"/>
      <c r="N46" s="196"/>
      <c r="O46" s="196"/>
      <c r="P46" s="196"/>
      <c r="Q46" s="185" t="s">
        <v>36</v>
      </c>
      <c r="R46" s="424"/>
    </row>
    <row r="47" spans="1:18" ht="3" customHeight="1" x14ac:dyDescent="0.25">
      <c r="A47" s="188"/>
      <c r="B47" s="182"/>
      <c r="C47" s="182"/>
      <c r="E47" s="182"/>
      <c r="H47" s="182"/>
      <c r="Q47" s="185"/>
      <c r="R47" s="209"/>
    </row>
    <row r="48" spans="1:18" x14ac:dyDescent="0.25">
      <c r="A48" s="188">
        <v>11</v>
      </c>
      <c r="B48" s="197" t="s">
        <v>259</v>
      </c>
      <c r="C48" s="194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85" t="s">
        <v>249</v>
      </c>
      <c r="R48" s="424">
        <f>R40-SUM(R42:R46)</f>
        <v>0</v>
      </c>
    </row>
    <row r="49" spans="1:18" ht="9" customHeight="1" x14ac:dyDescent="0.25">
      <c r="A49" s="188"/>
      <c r="B49" s="189" t="s">
        <v>260</v>
      </c>
      <c r="C49" s="182"/>
      <c r="R49" s="210"/>
    </row>
    <row r="50" spans="1:18" x14ac:dyDescent="0.25">
      <c r="A50" s="188">
        <v>12</v>
      </c>
      <c r="B50" s="194" t="s">
        <v>261</v>
      </c>
      <c r="C50" s="194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R50" s="424">
        <f>'PA 6'!Q46*-1</f>
        <v>0</v>
      </c>
    </row>
    <row r="51" spans="1:18" x14ac:dyDescent="0.25">
      <c r="A51" s="188">
        <v>13</v>
      </c>
      <c r="B51" s="182" t="s">
        <v>262</v>
      </c>
      <c r="C51" s="182"/>
      <c r="R51" s="211"/>
    </row>
    <row r="52" spans="1:18" ht="9" customHeight="1" x14ac:dyDescent="0.25">
      <c r="B52" s="184" t="s">
        <v>263</v>
      </c>
      <c r="R52" s="211"/>
    </row>
    <row r="53" spans="1:18" ht="13.5" customHeight="1" x14ac:dyDescent="0.25">
      <c r="A53" s="551">
        <v>13.1</v>
      </c>
      <c r="B53" s="551"/>
      <c r="C53" s="553" t="s">
        <v>264</v>
      </c>
      <c r="D53" s="190" t="s">
        <v>265</v>
      </c>
      <c r="E53" s="194" t="s">
        <v>266</v>
      </c>
      <c r="F53" s="194"/>
      <c r="G53" s="194"/>
      <c r="H53" s="194"/>
      <c r="I53" s="196"/>
      <c r="J53" s="196"/>
      <c r="K53" s="196"/>
      <c r="L53" s="196"/>
      <c r="M53" s="196"/>
      <c r="N53" s="196"/>
      <c r="O53" s="196"/>
      <c r="P53" s="420" t="s">
        <v>209</v>
      </c>
      <c r="R53" s="426"/>
    </row>
    <row r="54" spans="1:18" ht="3" customHeight="1" x14ac:dyDescent="0.25">
      <c r="A54" s="203"/>
      <c r="B54" s="203"/>
      <c r="C54" s="553"/>
      <c r="D54" s="190"/>
      <c r="E54" s="182"/>
      <c r="F54" s="182"/>
      <c r="G54" s="182"/>
      <c r="H54" s="182"/>
      <c r="R54" s="212"/>
    </row>
    <row r="55" spans="1:18" x14ac:dyDescent="0.25">
      <c r="A55" s="188"/>
      <c r="B55" s="188"/>
      <c r="C55" s="553"/>
      <c r="D55" s="191" t="s">
        <v>267</v>
      </c>
      <c r="E55" s="182" t="s">
        <v>268</v>
      </c>
      <c r="F55" s="182"/>
      <c r="G55" s="182"/>
      <c r="H55" s="182"/>
      <c r="I55" s="543"/>
      <c r="J55" s="543"/>
      <c r="K55" s="543"/>
      <c r="L55" s="543"/>
      <c r="M55" s="543"/>
      <c r="N55" s="543"/>
      <c r="O55" s="543"/>
      <c r="P55" s="543"/>
      <c r="R55" s="426"/>
    </row>
    <row r="56" spans="1:18" ht="9" customHeight="1" x14ac:dyDescent="0.25">
      <c r="A56" s="188"/>
      <c r="B56" s="188"/>
      <c r="C56" s="553"/>
      <c r="D56" s="192"/>
      <c r="E56" s="187" t="s">
        <v>242</v>
      </c>
      <c r="R56" s="211"/>
    </row>
    <row r="57" spans="1:18" x14ac:dyDescent="0.25">
      <c r="A57" s="552">
        <v>13.2</v>
      </c>
      <c r="B57" s="552"/>
      <c r="C57" s="182" t="s">
        <v>269</v>
      </c>
      <c r="D57" s="191" t="s">
        <v>270</v>
      </c>
      <c r="E57" s="194" t="s">
        <v>271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R57" s="426"/>
    </row>
    <row r="58" spans="1:18" ht="3" customHeight="1" x14ac:dyDescent="0.25">
      <c r="A58" s="204"/>
      <c r="B58" s="204"/>
      <c r="C58" s="182"/>
      <c r="D58" s="191"/>
      <c r="E58" s="182"/>
      <c r="R58" s="213"/>
    </row>
    <row r="59" spans="1:18" x14ac:dyDescent="0.25">
      <c r="A59" s="188"/>
      <c r="B59" s="188"/>
      <c r="C59" s="182" t="s">
        <v>272</v>
      </c>
      <c r="D59" s="191" t="s">
        <v>273</v>
      </c>
      <c r="E59" s="194" t="s">
        <v>274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R59" s="426"/>
    </row>
    <row r="60" spans="1:18" ht="3" customHeight="1" x14ac:dyDescent="0.25">
      <c r="A60" s="188"/>
      <c r="B60" s="188"/>
      <c r="C60" s="182"/>
      <c r="D60" s="191"/>
      <c r="E60" s="182"/>
      <c r="I60" s="201"/>
      <c r="J60" s="201"/>
      <c r="K60" s="201"/>
      <c r="L60" s="201"/>
      <c r="M60" s="201"/>
      <c r="N60" s="201"/>
      <c r="O60" s="201"/>
      <c r="P60" s="201"/>
      <c r="R60" s="213"/>
    </row>
    <row r="61" spans="1:18" x14ac:dyDescent="0.25">
      <c r="A61" s="188"/>
      <c r="B61" s="188"/>
      <c r="C61" s="182" t="s">
        <v>275</v>
      </c>
      <c r="D61" s="191" t="s">
        <v>276</v>
      </c>
      <c r="E61" s="182" t="s">
        <v>268</v>
      </c>
      <c r="I61" s="543"/>
      <c r="J61" s="543"/>
      <c r="K61" s="543"/>
      <c r="L61" s="543"/>
      <c r="M61" s="543"/>
      <c r="N61" s="543"/>
      <c r="O61" s="543"/>
      <c r="P61" s="543"/>
      <c r="R61" s="426"/>
    </row>
    <row r="62" spans="1:18" ht="9" customHeight="1" x14ac:dyDescent="0.25">
      <c r="B62" s="182"/>
      <c r="C62" s="182"/>
      <c r="E62" s="187" t="s">
        <v>242</v>
      </c>
      <c r="R62" s="211"/>
    </row>
    <row r="63" spans="1:18" x14ac:dyDescent="0.25">
      <c r="A63" s="551">
        <v>13.3</v>
      </c>
      <c r="B63" s="551"/>
      <c r="C63" s="194" t="s">
        <v>277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R63" s="426"/>
    </row>
    <row r="64" spans="1:18" ht="3" customHeight="1" x14ac:dyDescent="0.25">
      <c r="A64" s="203"/>
      <c r="B64" s="203"/>
      <c r="C64" s="182"/>
    </row>
    <row r="65" spans="1:18" x14ac:dyDescent="0.25">
      <c r="A65" s="188">
        <v>14</v>
      </c>
      <c r="B65" s="182" t="s">
        <v>278</v>
      </c>
      <c r="C65" s="182"/>
      <c r="F65" s="182" t="s">
        <v>279</v>
      </c>
      <c r="G65" s="182"/>
      <c r="H65" s="182"/>
      <c r="I65" s="543"/>
      <c r="J65" s="543"/>
      <c r="K65" s="543"/>
      <c r="L65" s="543"/>
      <c r="M65" s="543"/>
      <c r="N65" s="543"/>
      <c r="O65" s="543"/>
      <c r="P65" s="543"/>
      <c r="Q65" s="543"/>
      <c r="R65" s="543"/>
    </row>
    <row r="66" spans="1:18" ht="3" customHeight="1" x14ac:dyDescent="0.25">
      <c r="A66" s="188"/>
      <c r="B66" s="182"/>
      <c r="C66" s="182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5">
      <c r="A67" s="188"/>
      <c r="B67" s="182" t="s">
        <v>280</v>
      </c>
      <c r="C67" s="182"/>
      <c r="F67" s="182" t="s">
        <v>281</v>
      </c>
      <c r="G67" s="182"/>
      <c r="H67" s="182"/>
      <c r="I67" s="543"/>
      <c r="J67" s="543"/>
      <c r="K67" s="543"/>
      <c r="L67" s="543"/>
      <c r="M67" s="543"/>
      <c r="N67" s="543"/>
      <c r="O67" s="543"/>
      <c r="P67" s="543"/>
      <c r="Q67" s="543"/>
      <c r="R67" s="543"/>
    </row>
    <row r="68" spans="1:18" ht="3" customHeight="1" x14ac:dyDescent="0.25">
      <c r="A68" s="188"/>
      <c r="B68" s="182"/>
      <c r="C68" s="182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5">
      <c r="A69" s="188"/>
      <c r="B69" s="182" t="s">
        <v>282</v>
      </c>
      <c r="C69" s="182"/>
      <c r="F69" s="182" t="s">
        <v>283</v>
      </c>
      <c r="G69" s="182"/>
      <c r="H69" s="182"/>
      <c r="I69" s="543"/>
      <c r="J69" s="543"/>
      <c r="K69" s="543"/>
      <c r="L69" s="543"/>
      <c r="M69" s="543"/>
      <c r="N69" s="543"/>
      <c r="O69" s="543"/>
      <c r="P69" s="543"/>
      <c r="Q69" s="543"/>
      <c r="R69" s="543"/>
    </row>
    <row r="70" spans="1:18" ht="3" customHeight="1" x14ac:dyDescent="0.25">
      <c r="A70" s="188"/>
      <c r="B70" s="182"/>
      <c r="C70" s="182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5">
      <c r="A71" s="188">
        <v>15</v>
      </c>
      <c r="B71" s="182" t="s">
        <v>284</v>
      </c>
      <c r="C71" s="182"/>
      <c r="D71" s="545" t="str">
        <f>IF('PA 6'!L7&lt;100%,"Taux d'occupation "&amp;('PA 6'!L7+'PA 6'!L12)*100&amp;"%","")</f>
        <v>Taux d'occupation 0%</v>
      </c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</row>
    <row r="72" spans="1:18" ht="3" customHeight="1" x14ac:dyDescent="0.25">
      <c r="A72" s="188"/>
      <c r="B72" s="182"/>
      <c r="C72" s="182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x14ac:dyDescent="0.25">
      <c r="A73" s="188"/>
      <c r="B73" s="182" t="s">
        <v>285</v>
      </c>
      <c r="C73" s="182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</row>
    <row r="74" spans="1:18" ht="3" customHeight="1" x14ac:dyDescent="0.25">
      <c r="A74" s="188"/>
      <c r="B74" s="182"/>
      <c r="C74" s="182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x14ac:dyDescent="0.25">
      <c r="A75" s="188"/>
      <c r="B75" s="182" t="s">
        <v>286</v>
      </c>
      <c r="C75" s="182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</row>
    <row r="76" spans="1:18" x14ac:dyDescent="0.25">
      <c r="A76" s="188"/>
      <c r="B76" s="182"/>
      <c r="C76" s="182"/>
    </row>
    <row r="77" spans="1:18" x14ac:dyDescent="0.25">
      <c r="A77" s="188" t="s">
        <v>287</v>
      </c>
      <c r="B77" s="182" t="s">
        <v>288</v>
      </c>
      <c r="C77" s="182"/>
      <c r="F77" s="182" t="s">
        <v>289</v>
      </c>
      <c r="G77" s="182"/>
      <c r="M77" s="554">
        <f>'Attestation du salaire (ord.)'!A8:A8</f>
        <v>0</v>
      </c>
      <c r="N77" s="554"/>
      <c r="O77" s="554"/>
      <c r="P77" s="554"/>
      <c r="Q77" s="554"/>
      <c r="R77" s="554"/>
    </row>
    <row r="78" spans="1:18" ht="9" customHeight="1" x14ac:dyDescent="0.25">
      <c r="B78" s="182"/>
      <c r="C78" s="182"/>
      <c r="F78" s="184" t="s">
        <v>290</v>
      </c>
      <c r="G78" s="184"/>
      <c r="M78" s="214"/>
      <c r="N78" s="214"/>
      <c r="O78" s="214"/>
      <c r="P78" s="214"/>
      <c r="Q78" s="214"/>
      <c r="R78" s="214"/>
    </row>
    <row r="79" spans="1:18" ht="13.5" customHeight="1" x14ac:dyDescent="0.25">
      <c r="B79" s="182"/>
      <c r="C79" s="182"/>
      <c r="F79" s="182" t="s">
        <v>291</v>
      </c>
      <c r="G79" s="182"/>
      <c r="M79" s="554">
        <f>'Attestation du salaire (ord.)'!A9:A9</f>
        <v>0</v>
      </c>
      <c r="N79" s="554"/>
      <c r="O79" s="554"/>
      <c r="P79" s="554"/>
      <c r="Q79" s="554"/>
      <c r="R79" s="554"/>
    </row>
    <row r="80" spans="1:18" ht="9" customHeight="1" x14ac:dyDescent="0.25">
      <c r="B80" s="182"/>
      <c r="C80" s="182"/>
      <c r="F80" s="184" t="s">
        <v>292</v>
      </c>
      <c r="G80" s="184"/>
      <c r="M80" s="214"/>
      <c r="N80" s="214"/>
      <c r="O80" s="214"/>
      <c r="P80" s="214"/>
      <c r="Q80" s="214"/>
      <c r="R80" s="214"/>
    </row>
    <row r="81" spans="2:18" ht="13.5" customHeight="1" x14ac:dyDescent="0.25">
      <c r="B81" s="182"/>
      <c r="C81" s="182"/>
      <c r="F81" s="182" t="s">
        <v>293</v>
      </c>
      <c r="G81" s="182"/>
      <c r="M81" s="554">
        <f>'Attestation du salaire (ord.)'!A10:A10</f>
        <v>0</v>
      </c>
      <c r="N81" s="554"/>
      <c r="O81" s="554"/>
      <c r="P81" s="554"/>
      <c r="Q81" s="554"/>
      <c r="R81" s="554"/>
    </row>
    <row r="82" spans="2:18" ht="9" customHeight="1" x14ac:dyDescent="0.25">
      <c r="B82" s="182"/>
      <c r="C82" s="182"/>
      <c r="F82" s="184" t="s">
        <v>294</v>
      </c>
      <c r="G82" s="184"/>
      <c r="M82" s="215"/>
      <c r="N82" s="215"/>
      <c r="O82" s="215"/>
      <c r="P82" s="215"/>
      <c r="Q82" s="215"/>
      <c r="R82" s="215"/>
    </row>
    <row r="83" spans="2:18" ht="13.5" customHeight="1" x14ac:dyDescent="0.25">
      <c r="B83" s="182"/>
      <c r="C83" s="182"/>
      <c r="I83" s="182"/>
      <c r="M83" s="554" t="str">
        <f>'CS 1'!M83:R83</f>
        <v>Entrez le numéro de téléphone ici</v>
      </c>
      <c r="N83" s="554"/>
      <c r="O83" s="554"/>
      <c r="P83" s="554"/>
      <c r="Q83" s="554"/>
      <c r="R83" s="554"/>
    </row>
    <row r="84" spans="2:18" x14ac:dyDescent="0.25">
      <c r="B84" s="182"/>
      <c r="C84" s="182"/>
    </row>
  </sheetData>
  <sheetProtection algorithmName="SHA-512" hashValue="qjEO3mszCBtse0kTovveWDdHz7od6eGB792GMTfrJ4K1Fh6Cg035wsu14JJYDTaKxJx11nvx3CqdNPQvB85flA==" saltValue="lcgv5c8rw5cntAhRXk+Xww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2" bestFit="1" customWidth="1"/>
    <col min="2" max="2" width="3.28515625" style="183" customWidth="1"/>
    <col min="3" max="3" width="12" style="183" customWidth="1"/>
    <col min="4" max="4" width="7.42578125" style="183" customWidth="1"/>
    <col min="5" max="5" width="1.85546875" style="183" customWidth="1"/>
    <col min="6" max="6" width="10.28515625" style="183" customWidth="1"/>
    <col min="7" max="7" width="1.7109375" style="183" customWidth="1"/>
    <col min="8" max="9" width="5.7109375" style="183" customWidth="1"/>
    <col min="10" max="11" width="6.28515625" style="183" customWidth="1"/>
    <col min="12" max="12" width="4" style="183" customWidth="1"/>
    <col min="13" max="13" width="2.140625" style="183" bestFit="1" customWidth="1"/>
    <col min="14" max="14" width="2.7109375" style="183" customWidth="1"/>
    <col min="15" max="15" width="14.7109375" style="183" customWidth="1"/>
    <col min="16" max="16" width="2.7109375" style="183" customWidth="1"/>
    <col min="17" max="17" width="1.7109375" style="183" customWidth="1"/>
    <col min="18" max="18" width="14.140625" style="183" customWidth="1"/>
    <col min="19" max="16384" width="11.42578125" style="183"/>
  </cols>
  <sheetData>
    <row r="1" spans="1:18" ht="18.75" x14ac:dyDescent="0.4">
      <c r="A1" s="188" t="s">
        <v>208</v>
      </c>
      <c r="B1" s="420" t="s">
        <v>209</v>
      </c>
      <c r="C1" s="207" t="s">
        <v>210</v>
      </c>
    </row>
    <row r="2" spans="1:18" ht="3" customHeight="1" x14ac:dyDescent="0.4">
      <c r="A2" s="188"/>
      <c r="C2" s="207"/>
    </row>
    <row r="3" spans="1:18" ht="18.75" x14ac:dyDescent="0.4">
      <c r="A3" s="188" t="s">
        <v>211</v>
      </c>
      <c r="B3" s="421"/>
      <c r="C3" s="207" t="s">
        <v>212</v>
      </c>
    </row>
    <row r="4" spans="1:18" ht="9" customHeight="1" x14ac:dyDescent="0.25">
      <c r="A4" s="188"/>
      <c r="C4" s="192"/>
    </row>
    <row r="5" spans="1:18" ht="13.5" customHeight="1" x14ac:dyDescent="0.25">
      <c r="A5" s="188" t="s">
        <v>213</v>
      </c>
      <c r="B5" s="546" t="str">
        <f>IF('PA 7'!$F$6="","",'PA 7'!$F$6)</f>
        <v/>
      </c>
      <c r="C5" s="546"/>
      <c r="D5" s="546"/>
      <c r="E5" s="546"/>
      <c r="F5" s="546"/>
      <c r="H5" s="547" cm="1">
        <f t="array" ref="H5">'PA 7'!F7:F7</f>
        <v>0</v>
      </c>
      <c r="I5" s="547"/>
      <c r="J5" s="547"/>
      <c r="K5" s="547"/>
      <c r="M5" s="193" t="s">
        <v>214</v>
      </c>
      <c r="N5" s="421"/>
      <c r="O5" s="549" t="s">
        <v>215</v>
      </c>
      <c r="P5" s="549"/>
      <c r="Q5" s="549"/>
      <c r="R5" s="549"/>
    </row>
    <row r="6" spans="1:18" x14ac:dyDescent="0.25">
      <c r="A6" s="188"/>
      <c r="B6" s="187" t="s">
        <v>216</v>
      </c>
      <c r="C6" s="198"/>
      <c r="D6" s="187"/>
      <c r="E6" s="198"/>
      <c r="F6" s="187"/>
      <c r="G6" s="187"/>
      <c r="H6" s="187" t="s">
        <v>217</v>
      </c>
      <c r="M6" s="193"/>
      <c r="O6" s="549"/>
      <c r="P6" s="549"/>
      <c r="Q6" s="549"/>
      <c r="R6" s="549"/>
    </row>
    <row r="7" spans="1:18" ht="13.5" customHeight="1" x14ac:dyDescent="0.25">
      <c r="A7" s="188" t="s">
        <v>218</v>
      </c>
      <c r="B7" s="548">
        <f>'PA 7'!A21</f>
        <v>45657</v>
      </c>
      <c r="C7" s="548"/>
      <c r="E7" s="188" t="s">
        <v>219</v>
      </c>
      <c r="F7" s="422">
        <f>IF('PA 7'!$Q$37=0,0,IF('PA 7'!$C$14&lt;'PA 7'!$C$21,'PA 7'!$C$21,'PA 7'!$C$14))</f>
        <v>0</v>
      </c>
      <c r="G7" s="422"/>
      <c r="H7" s="1"/>
      <c r="I7" s="547">
        <f>IF('PA 7'!$Q$37=0,0,IF('PA 7'!$C$15&gt;0,'PA 7'!$C$15,B7))</f>
        <v>0</v>
      </c>
      <c r="J7" s="547"/>
      <c r="M7" s="193" t="s">
        <v>220</v>
      </c>
      <c r="N7" s="421"/>
      <c r="O7" s="549" t="s">
        <v>221</v>
      </c>
      <c r="P7" s="549"/>
      <c r="Q7" s="549"/>
      <c r="R7" s="549"/>
    </row>
    <row r="8" spans="1:18" x14ac:dyDescent="0.25">
      <c r="A8" s="188"/>
      <c r="B8" s="187" t="s">
        <v>222</v>
      </c>
      <c r="C8" s="187"/>
      <c r="D8" s="187"/>
      <c r="E8" s="187"/>
      <c r="F8" s="187" t="s">
        <v>223</v>
      </c>
      <c r="G8" s="187"/>
      <c r="H8" s="187"/>
      <c r="I8" s="187" t="s">
        <v>224</v>
      </c>
      <c r="M8" s="193"/>
      <c r="O8" s="549"/>
      <c r="P8" s="549"/>
      <c r="Q8" s="549"/>
      <c r="R8" s="549"/>
    </row>
    <row r="9" spans="1:18" x14ac:dyDescent="0.25">
      <c r="A9" s="188" t="s">
        <v>225</v>
      </c>
    </row>
    <row r="10" spans="1:18" x14ac:dyDescent="0.25">
      <c r="A10" s="188"/>
    </row>
    <row r="11" spans="1:18" x14ac:dyDescent="0.25">
      <c r="A11" s="188"/>
      <c r="L11" s="1" t="str">
        <f>CONCATENATE('PA 7'!C6:C6," ",'PA 7'!C7:C7)</f>
        <v xml:space="preserve"> </v>
      </c>
    </row>
    <row r="12" spans="1:18" x14ac:dyDescent="0.25">
      <c r="A12" s="188"/>
      <c r="L12" s="1">
        <f>'PA 7'!C8:C8</f>
        <v>0</v>
      </c>
    </row>
    <row r="13" spans="1:18" x14ac:dyDescent="0.25">
      <c r="A13" s="188"/>
      <c r="L13" s="1">
        <f>'PA 7'!C9:C9</f>
        <v>0</v>
      </c>
    </row>
    <row r="14" spans="1:18" x14ac:dyDescent="0.25">
      <c r="A14" s="188"/>
    </row>
    <row r="15" spans="1:18" x14ac:dyDescent="0.25">
      <c r="A15" s="188"/>
    </row>
    <row r="16" spans="1:18" x14ac:dyDescent="0.25">
      <c r="A16" s="188"/>
    </row>
    <row r="17" spans="1:18" x14ac:dyDescent="0.25">
      <c r="A17" s="188"/>
    </row>
    <row r="18" spans="1:18" ht="13.5" customHeight="1" x14ac:dyDescent="0.25">
      <c r="A18" s="188"/>
      <c r="R18" s="550" t="s">
        <v>226</v>
      </c>
    </row>
    <row r="19" spans="1:18" x14ac:dyDescent="0.25">
      <c r="A19" s="188">
        <v>1</v>
      </c>
      <c r="B19" s="182" t="s">
        <v>227</v>
      </c>
      <c r="C19" s="182"/>
      <c r="D19" s="182" t="s">
        <v>228</v>
      </c>
      <c r="E19" s="182"/>
      <c r="F19" s="182"/>
      <c r="G19" s="182"/>
      <c r="H19" s="182"/>
      <c r="I19" s="182"/>
      <c r="J19" s="186" t="s">
        <v>229</v>
      </c>
      <c r="K19" s="186"/>
      <c r="L19" s="182"/>
      <c r="M19" s="182"/>
      <c r="N19" s="182"/>
      <c r="Q19" s="206"/>
      <c r="R19" s="550"/>
    </row>
    <row r="20" spans="1:18" x14ac:dyDescent="0.25">
      <c r="A20" s="188"/>
      <c r="B20" s="182" t="s">
        <v>230</v>
      </c>
      <c r="C20" s="182"/>
      <c r="D20" s="182" t="s">
        <v>231</v>
      </c>
      <c r="E20" s="182"/>
      <c r="F20" s="182"/>
      <c r="G20" s="182"/>
      <c r="H20" s="182"/>
      <c r="I20" s="182"/>
      <c r="J20" s="186" t="s">
        <v>229</v>
      </c>
      <c r="K20" s="186"/>
      <c r="L20" s="182"/>
      <c r="M20" s="182"/>
      <c r="N20" s="182"/>
      <c r="Q20" s="206"/>
      <c r="R20" s="550"/>
    </row>
    <row r="21" spans="1:18" x14ac:dyDescent="0.25">
      <c r="A21" s="188"/>
      <c r="B21" s="194" t="s">
        <v>232</v>
      </c>
      <c r="C21" s="194"/>
      <c r="D21" s="194" t="s">
        <v>233</v>
      </c>
      <c r="E21" s="194"/>
      <c r="F21" s="194"/>
      <c r="G21" s="194"/>
      <c r="H21" s="194"/>
      <c r="I21" s="194"/>
      <c r="J21" s="195" t="s">
        <v>234</v>
      </c>
      <c r="K21" s="195"/>
      <c r="L21" s="194"/>
      <c r="M21" s="194"/>
      <c r="N21" s="194"/>
      <c r="O21" s="196"/>
      <c r="P21" s="196"/>
      <c r="R21" s="423">
        <f>'PA 7'!Q37-'PA 7'!Q31</f>
        <v>0</v>
      </c>
    </row>
    <row r="22" spans="1:18" ht="3" customHeight="1" x14ac:dyDescent="0.25">
      <c r="A22" s="188"/>
      <c r="B22" s="182"/>
      <c r="C22" s="182"/>
      <c r="D22" s="182"/>
      <c r="E22" s="182"/>
      <c r="F22" s="199"/>
      <c r="G22" s="199"/>
      <c r="H22" s="199"/>
      <c r="I22" s="199"/>
      <c r="J22" s="200"/>
      <c r="K22" s="200"/>
      <c r="L22" s="199"/>
      <c r="M22" s="199"/>
      <c r="N22" s="199"/>
      <c r="O22" s="201"/>
      <c r="P22" s="201"/>
      <c r="R22" s="208"/>
    </row>
    <row r="23" spans="1:18" x14ac:dyDescent="0.25">
      <c r="A23" s="188">
        <v>2</v>
      </c>
      <c r="B23" s="182" t="s">
        <v>235</v>
      </c>
      <c r="C23" s="182"/>
      <c r="D23" s="182"/>
      <c r="E23" s="182"/>
      <c r="F23" s="194" t="s">
        <v>296</v>
      </c>
      <c r="G23" s="194"/>
      <c r="H23" s="194"/>
      <c r="I23" s="196"/>
      <c r="J23" s="194"/>
      <c r="K23" s="194"/>
      <c r="L23" s="194"/>
      <c r="M23" s="194"/>
      <c r="N23" s="194"/>
      <c r="O23" s="196"/>
      <c r="P23" s="196"/>
      <c r="Q23" s="185" t="s">
        <v>237</v>
      </c>
      <c r="R23" s="424">
        <f>'PA 7'!Q31</f>
        <v>0</v>
      </c>
    </row>
    <row r="24" spans="1:18" ht="3" customHeight="1" x14ac:dyDescent="0.25">
      <c r="A24" s="188"/>
      <c r="B24" s="182"/>
      <c r="C24" s="182"/>
      <c r="D24" s="182"/>
      <c r="E24" s="182"/>
      <c r="F24" s="199"/>
      <c r="G24" s="199"/>
      <c r="H24" s="199"/>
      <c r="I24" s="201"/>
      <c r="J24" s="199"/>
      <c r="K24" s="199"/>
      <c r="L24" s="199"/>
      <c r="M24" s="199"/>
      <c r="N24" s="199"/>
      <c r="O24" s="201"/>
      <c r="P24" s="201"/>
      <c r="Q24" s="185"/>
      <c r="R24" s="208"/>
    </row>
    <row r="25" spans="1:18" x14ac:dyDescent="0.25">
      <c r="A25" s="188"/>
      <c r="B25" s="182" t="s">
        <v>238</v>
      </c>
      <c r="C25" s="182"/>
      <c r="D25" s="182"/>
      <c r="E25" s="182"/>
      <c r="F25" s="194" t="s">
        <v>297</v>
      </c>
      <c r="G25" s="194"/>
      <c r="H25" s="194"/>
      <c r="I25" s="194"/>
      <c r="J25" s="194"/>
      <c r="K25" s="194"/>
      <c r="L25" s="194"/>
      <c r="M25" s="194"/>
      <c r="N25" s="194"/>
      <c r="O25" s="196"/>
      <c r="P25" s="196"/>
      <c r="Q25" s="185" t="s">
        <v>237</v>
      </c>
      <c r="R25" s="424"/>
    </row>
    <row r="26" spans="1:18" ht="3" customHeight="1" x14ac:dyDescent="0.25">
      <c r="A26" s="1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Q26" s="185"/>
      <c r="R26" s="209"/>
    </row>
    <row r="27" spans="1:18" x14ac:dyDescent="0.25">
      <c r="A27" s="188"/>
      <c r="B27" s="182" t="s">
        <v>240</v>
      </c>
      <c r="C27" s="182"/>
      <c r="D27" s="182"/>
      <c r="E27" s="182"/>
      <c r="F27" s="182" t="s">
        <v>298</v>
      </c>
      <c r="G27" s="182"/>
      <c r="H27" s="182"/>
      <c r="I27" s="182"/>
      <c r="J27" s="542"/>
      <c r="K27" s="542"/>
      <c r="L27" s="542"/>
      <c r="M27" s="542"/>
      <c r="N27" s="542"/>
      <c r="O27" s="542"/>
      <c r="P27" s="542"/>
      <c r="Q27" s="185" t="s">
        <v>237</v>
      </c>
      <c r="R27" s="424"/>
    </row>
    <row r="28" spans="1:18" ht="9.75" customHeight="1" x14ac:dyDescent="0.25">
      <c r="A28" s="188"/>
      <c r="B28" s="182"/>
      <c r="C28" s="182"/>
      <c r="D28" s="182"/>
      <c r="E28" s="182"/>
      <c r="F28" s="184" t="s">
        <v>242</v>
      </c>
      <c r="G28" s="184"/>
      <c r="H28" s="184"/>
      <c r="I28" s="182"/>
      <c r="J28" s="182"/>
      <c r="K28" s="182"/>
      <c r="L28" s="182"/>
      <c r="M28" s="182"/>
      <c r="N28" s="182"/>
      <c r="R28" s="210"/>
    </row>
    <row r="29" spans="1:18" x14ac:dyDescent="0.25">
      <c r="A29" s="188">
        <v>3</v>
      </c>
      <c r="B29" s="182" t="s">
        <v>243</v>
      </c>
      <c r="C29" s="182"/>
      <c r="D29" s="182"/>
      <c r="E29" s="182"/>
      <c r="F29" s="182"/>
      <c r="G29" s="182"/>
      <c r="H29" s="182"/>
      <c r="I29" s="182"/>
      <c r="J29" s="182"/>
      <c r="K29" s="184" t="s">
        <v>242</v>
      </c>
      <c r="M29" s="182"/>
      <c r="N29" s="182"/>
      <c r="Q29" s="185" t="s">
        <v>237</v>
      </c>
      <c r="R29" s="210"/>
    </row>
    <row r="30" spans="1:18" x14ac:dyDescent="0.25">
      <c r="A30" s="188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R30" s="424"/>
    </row>
    <row r="31" spans="1:18" ht="3" customHeight="1" x14ac:dyDescent="0.25">
      <c r="A31" s="18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R31" s="208"/>
    </row>
    <row r="32" spans="1:18" x14ac:dyDescent="0.25">
      <c r="A32" s="188">
        <v>4</v>
      </c>
      <c r="B32" s="182" t="s">
        <v>244</v>
      </c>
      <c r="C32" s="182"/>
      <c r="D32" s="182"/>
      <c r="E32" s="182"/>
      <c r="F32" s="182"/>
      <c r="G32" s="182"/>
      <c r="H32" s="182"/>
      <c r="I32" s="542"/>
      <c r="J32" s="542"/>
      <c r="K32" s="542"/>
      <c r="L32" s="542"/>
      <c r="M32" s="542"/>
      <c r="N32" s="542"/>
      <c r="O32" s="542"/>
      <c r="P32" s="542"/>
      <c r="Q32" s="185" t="s">
        <v>237</v>
      </c>
      <c r="R32" s="424"/>
    </row>
    <row r="33" spans="1:18" ht="9" customHeight="1" x14ac:dyDescent="0.25">
      <c r="A33" s="188"/>
      <c r="B33" s="184" t="s">
        <v>242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R33" s="210"/>
    </row>
    <row r="34" spans="1:18" x14ac:dyDescent="0.25">
      <c r="A34" s="188">
        <v>5</v>
      </c>
      <c r="B34" s="194" t="s">
        <v>245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6"/>
      <c r="P34" s="196"/>
      <c r="Q34" s="185" t="s">
        <v>237</v>
      </c>
      <c r="R34" s="424"/>
    </row>
    <row r="35" spans="1:18" ht="3" customHeight="1" x14ac:dyDescent="0.25">
      <c r="A35" s="18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Q35" s="185"/>
      <c r="R35" s="209"/>
    </row>
    <row r="36" spans="1:18" x14ac:dyDescent="0.25">
      <c r="A36" s="188">
        <v>6</v>
      </c>
      <c r="B36" s="194" t="s">
        <v>246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6"/>
      <c r="P36" s="196"/>
      <c r="Q36" s="185" t="s">
        <v>237</v>
      </c>
      <c r="R36" s="424"/>
    </row>
    <row r="37" spans="1:18" ht="3" customHeight="1" x14ac:dyDescent="0.25">
      <c r="A37" s="18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Q37" s="185"/>
      <c r="R37" s="209"/>
    </row>
    <row r="38" spans="1:18" x14ac:dyDescent="0.25">
      <c r="A38" s="188">
        <v>7</v>
      </c>
      <c r="B38" s="182" t="s">
        <v>247</v>
      </c>
      <c r="C38" s="182"/>
      <c r="D38" s="182"/>
      <c r="E38" s="182"/>
      <c r="F38" s="182"/>
      <c r="G38" s="182"/>
      <c r="H38" s="182"/>
      <c r="I38" s="542"/>
      <c r="J38" s="542"/>
      <c r="K38" s="542"/>
      <c r="L38" s="542"/>
      <c r="M38" s="542"/>
      <c r="N38" s="542"/>
      <c r="O38" s="542"/>
      <c r="P38" s="542"/>
      <c r="Q38" s="185" t="s">
        <v>237</v>
      </c>
      <c r="R38" s="424"/>
    </row>
    <row r="39" spans="1:18" ht="9" customHeight="1" x14ac:dyDescent="0.25">
      <c r="A39" s="188"/>
      <c r="B39" s="184" t="s">
        <v>242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R39" s="210"/>
    </row>
    <row r="40" spans="1:18" x14ac:dyDescent="0.25">
      <c r="A40" s="188">
        <v>8</v>
      </c>
      <c r="B40" s="194" t="s">
        <v>248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6"/>
      <c r="P40" s="196"/>
      <c r="Q40" s="185" t="s">
        <v>249</v>
      </c>
      <c r="R40" s="424">
        <f>SUM(R21:R39)</f>
        <v>0</v>
      </c>
    </row>
    <row r="41" spans="1:18" ht="3" customHeight="1" x14ac:dyDescent="0.25">
      <c r="A41" s="18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Q41" s="185"/>
      <c r="R41" s="209"/>
    </row>
    <row r="42" spans="1:18" x14ac:dyDescent="0.25">
      <c r="A42" s="188">
        <v>9</v>
      </c>
      <c r="B42" s="194" t="s">
        <v>250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6"/>
      <c r="P42" s="196"/>
      <c r="Q42" s="185" t="s">
        <v>36</v>
      </c>
      <c r="R42" s="424">
        <f>('PA 7'!Q40+'PA 7'!Q41+'PA 7'!Q42)*-1</f>
        <v>0</v>
      </c>
    </row>
    <row r="43" spans="1:18" ht="3" customHeight="1" x14ac:dyDescent="0.25">
      <c r="A43" s="188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Q43" s="185"/>
      <c r="R43" s="209"/>
    </row>
    <row r="44" spans="1:18" x14ac:dyDescent="0.25">
      <c r="A44" s="188">
        <v>10</v>
      </c>
      <c r="B44" s="182" t="s">
        <v>251</v>
      </c>
      <c r="C44" s="182"/>
      <c r="D44" s="182"/>
      <c r="E44" s="182" t="s">
        <v>252</v>
      </c>
      <c r="F44" s="182"/>
      <c r="G44" s="182"/>
      <c r="H44" s="194" t="s">
        <v>299</v>
      </c>
      <c r="I44" s="196"/>
      <c r="J44" s="194"/>
      <c r="K44" s="194"/>
      <c r="L44" s="194"/>
      <c r="M44" s="194"/>
      <c r="N44" s="194"/>
      <c r="O44" s="196"/>
      <c r="P44" s="196"/>
      <c r="Q44" s="185" t="s">
        <v>36</v>
      </c>
      <c r="R44" s="424">
        <f>'PA 7'!Q44*-1</f>
        <v>0</v>
      </c>
    </row>
    <row r="45" spans="1:18" x14ac:dyDescent="0.25">
      <c r="A45" s="188"/>
      <c r="B45" s="182" t="s">
        <v>254</v>
      </c>
      <c r="C45" s="182"/>
      <c r="D45" s="182"/>
      <c r="E45" s="182" t="s">
        <v>300</v>
      </c>
      <c r="F45" s="182"/>
      <c r="G45" s="182"/>
      <c r="H45" s="182"/>
      <c r="J45" s="182"/>
      <c r="K45" s="182"/>
      <c r="L45" s="182"/>
      <c r="M45" s="182"/>
      <c r="N45" s="182"/>
      <c r="R45" s="210"/>
    </row>
    <row r="46" spans="1:18" x14ac:dyDescent="0.25">
      <c r="A46" s="188"/>
      <c r="B46" s="182" t="s">
        <v>256</v>
      </c>
      <c r="C46" s="182"/>
      <c r="E46" s="182" t="s">
        <v>301</v>
      </c>
      <c r="H46" s="194" t="s">
        <v>302</v>
      </c>
      <c r="I46" s="196"/>
      <c r="J46" s="196"/>
      <c r="K46" s="196"/>
      <c r="L46" s="196"/>
      <c r="M46" s="196"/>
      <c r="N46" s="196"/>
      <c r="O46" s="196"/>
      <c r="P46" s="196"/>
      <c r="Q46" s="185" t="s">
        <v>36</v>
      </c>
      <c r="R46" s="424"/>
    </row>
    <row r="47" spans="1:18" ht="3" customHeight="1" x14ac:dyDescent="0.25">
      <c r="A47" s="188"/>
      <c r="B47" s="182"/>
      <c r="C47" s="182"/>
      <c r="E47" s="182"/>
      <c r="H47" s="182"/>
      <c r="Q47" s="185"/>
      <c r="R47" s="209"/>
    </row>
    <row r="48" spans="1:18" x14ac:dyDescent="0.25">
      <c r="A48" s="188">
        <v>11</v>
      </c>
      <c r="B48" s="197" t="s">
        <v>259</v>
      </c>
      <c r="C48" s="194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85" t="s">
        <v>249</v>
      </c>
      <c r="R48" s="424">
        <f>R40-SUM(R42:R46)</f>
        <v>0</v>
      </c>
    </row>
    <row r="49" spans="1:18" ht="9" customHeight="1" x14ac:dyDescent="0.25">
      <c r="A49" s="188"/>
      <c r="B49" s="189" t="s">
        <v>260</v>
      </c>
      <c r="C49" s="182"/>
      <c r="R49" s="210"/>
    </row>
    <row r="50" spans="1:18" x14ac:dyDescent="0.25">
      <c r="A50" s="188">
        <v>12</v>
      </c>
      <c r="B50" s="194" t="s">
        <v>261</v>
      </c>
      <c r="C50" s="194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R50" s="424">
        <f>'PA 7'!Q46*-1</f>
        <v>0</v>
      </c>
    </row>
    <row r="51" spans="1:18" x14ac:dyDescent="0.25">
      <c r="A51" s="188">
        <v>13</v>
      </c>
      <c r="B51" s="182" t="s">
        <v>262</v>
      </c>
      <c r="C51" s="182"/>
      <c r="R51" s="211"/>
    </row>
    <row r="52" spans="1:18" ht="9" customHeight="1" x14ac:dyDescent="0.25">
      <c r="B52" s="184" t="s">
        <v>263</v>
      </c>
      <c r="R52" s="211"/>
    </row>
    <row r="53" spans="1:18" ht="13.5" customHeight="1" x14ac:dyDescent="0.25">
      <c r="A53" s="551">
        <v>13.1</v>
      </c>
      <c r="B53" s="551"/>
      <c r="C53" s="553" t="s">
        <v>264</v>
      </c>
      <c r="D53" s="190" t="s">
        <v>265</v>
      </c>
      <c r="E53" s="194" t="s">
        <v>266</v>
      </c>
      <c r="F53" s="194"/>
      <c r="G53" s="194"/>
      <c r="H53" s="194"/>
      <c r="I53" s="196"/>
      <c r="J53" s="196"/>
      <c r="K53" s="196"/>
      <c r="L53" s="196"/>
      <c r="M53" s="196"/>
      <c r="N53" s="196"/>
      <c r="O53" s="196"/>
      <c r="P53" s="420" t="s">
        <v>209</v>
      </c>
      <c r="R53" s="426"/>
    </row>
    <row r="54" spans="1:18" ht="3" customHeight="1" x14ac:dyDescent="0.25">
      <c r="A54" s="203"/>
      <c r="B54" s="203"/>
      <c r="C54" s="553"/>
      <c r="D54" s="190"/>
      <c r="E54" s="182"/>
      <c r="F54" s="182"/>
      <c r="G54" s="182"/>
      <c r="H54" s="182"/>
      <c r="R54" s="212"/>
    </row>
    <row r="55" spans="1:18" x14ac:dyDescent="0.25">
      <c r="A55" s="188"/>
      <c r="B55" s="188"/>
      <c r="C55" s="553"/>
      <c r="D55" s="191" t="s">
        <v>267</v>
      </c>
      <c r="E55" s="182" t="s">
        <v>268</v>
      </c>
      <c r="F55" s="182"/>
      <c r="G55" s="182"/>
      <c r="H55" s="182"/>
      <c r="I55" s="543"/>
      <c r="J55" s="543"/>
      <c r="K55" s="543"/>
      <c r="L55" s="543"/>
      <c r="M55" s="543"/>
      <c r="N55" s="543"/>
      <c r="O55" s="543"/>
      <c r="P55" s="543"/>
      <c r="R55" s="426"/>
    </row>
    <row r="56" spans="1:18" ht="9" customHeight="1" x14ac:dyDescent="0.25">
      <c r="A56" s="188"/>
      <c r="B56" s="188"/>
      <c r="C56" s="553"/>
      <c r="D56" s="192"/>
      <c r="E56" s="187" t="s">
        <v>242</v>
      </c>
      <c r="R56" s="211"/>
    </row>
    <row r="57" spans="1:18" x14ac:dyDescent="0.25">
      <c r="A57" s="552">
        <v>13.2</v>
      </c>
      <c r="B57" s="552"/>
      <c r="C57" s="182" t="s">
        <v>269</v>
      </c>
      <c r="D57" s="191" t="s">
        <v>270</v>
      </c>
      <c r="E57" s="194" t="s">
        <v>271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R57" s="426"/>
    </row>
    <row r="58" spans="1:18" ht="3" customHeight="1" x14ac:dyDescent="0.25">
      <c r="A58" s="204"/>
      <c r="B58" s="204"/>
      <c r="C58" s="182"/>
      <c r="D58" s="191"/>
      <c r="E58" s="182"/>
      <c r="R58" s="213"/>
    </row>
    <row r="59" spans="1:18" x14ac:dyDescent="0.25">
      <c r="A59" s="188"/>
      <c r="B59" s="188"/>
      <c r="C59" s="182" t="s">
        <v>272</v>
      </c>
      <c r="D59" s="191" t="s">
        <v>273</v>
      </c>
      <c r="E59" s="194" t="s">
        <v>274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R59" s="426"/>
    </row>
    <row r="60" spans="1:18" ht="3" customHeight="1" x14ac:dyDescent="0.25">
      <c r="A60" s="188"/>
      <c r="B60" s="188"/>
      <c r="C60" s="182"/>
      <c r="D60" s="191"/>
      <c r="E60" s="182"/>
      <c r="I60" s="201"/>
      <c r="J60" s="201"/>
      <c r="K60" s="201"/>
      <c r="L60" s="201"/>
      <c r="M60" s="201"/>
      <c r="N60" s="201"/>
      <c r="O60" s="201"/>
      <c r="P60" s="201"/>
      <c r="R60" s="213"/>
    </row>
    <row r="61" spans="1:18" x14ac:dyDescent="0.25">
      <c r="A61" s="188"/>
      <c r="B61" s="188"/>
      <c r="C61" s="182" t="s">
        <v>275</v>
      </c>
      <c r="D61" s="191" t="s">
        <v>276</v>
      </c>
      <c r="E61" s="182" t="s">
        <v>268</v>
      </c>
      <c r="I61" s="543"/>
      <c r="J61" s="543"/>
      <c r="K61" s="543"/>
      <c r="L61" s="543"/>
      <c r="M61" s="543"/>
      <c r="N61" s="543"/>
      <c r="O61" s="543"/>
      <c r="P61" s="543"/>
      <c r="R61" s="426"/>
    </row>
    <row r="62" spans="1:18" ht="9" customHeight="1" x14ac:dyDescent="0.25">
      <c r="B62" s="182"/>
      <c r="C62" s="182"/>
      <c r="E62" s="187" t="s">
        <v>242</v>
      </c>
      <c r="R62" s="211"/>
    </row>
    <row r="63" spans="1:18" x14ac:dyDescent="0.25">
      <c r="A63" s="551">
        <v>13.3</v>
      </c>
      <c r="B63" s="551"/>
      <c r="C63" s="194" t="s">
        <v>277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R63" s="426"/>
    </row>
    <row r="64" spans="1:18" ht="3" customHeight="1" x14ac:dyDescent="0.25">
      <c r="A64" s="203"/>
      <c r="B64" s="203"/>
      <c r="C64" s="182"/>
    </row>
    <row r="65" spans="1:18" x14ac:dyDescent="0.25">
      <c r="A65" s="188">
        <v>14</v>
      </c>
      <c r="B65" s="182" t="s">
        <v>278</v>
      </c>
      <c r="C65" s="182"/>
      <c r="F65" s="182" t="s">
        <v>279</v>
      </c>
      <c r="G65" s="182"/>
      <c r="H65" s="182"/>
      <c r="I65" s="543"/>
      <c r="J65" s="543"/>
      <c r="K65" s="543"/>
      <c r="L65" s="543"/>
      <c r="M65" s="543"/>
      <c r="N65" s="543"/>
      <c r="O65" s="543"/>
      <c r="P65" s="543"/>
      <c r="Q65" s="543"/>
      <c r="R65" s="543"/>
    </row>
    <row r="66" spans="1:18" ht="3" customHeight="1" x14ac:dyDescent="0.25">
      <c r="A66" s="188"/>
      <c r="B66" s="182"/>
      <c r="C66" s="182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5">
      <c r="A67" s="188"/>
      <c r="B67" s="182" t="s">
        <v>280</v>
      </c>
      <c r="C67" s="182"/>
      <c r="F67" s="182" t="s">
        <v>281</v>
      </c>
      <c r="G67" s="182"/>
      <c r="H67" s="182"/>
      <c r="I67" s="543"/>
      <c r="J67" s="543"/>
      <c r="K67" s="543"/>
      <c r="L67" s="543"/>
      <c r="M67" s="543"/>
      <c r="N67" s="543"/>
      <c r="O67" s="543"/>
      <c r="P67" s="543"/>
      <c r="Q67" s="543"/>
      <c r="R67" s="543"/>
    </row>
    <row r="68" spans="1:18" ht="3" customHeight="1" x14ac:dyDescent="0.25">
      <c r="A68" s="188"/>
      <c r="B68" s="182"/>
      <c r="C68" s="182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5">
      <c r="A69" s="188"/>
      <c r="B69" s="182" t="s">
        <v>282</v>
      </c>
      <c r="C69" s="182"/>
      <c r="F69" s="182" t="s">
        <v>283</v>
      </c>
      <c r="G69" s="182"/>
      <c r="H69" s="182"/>
      <c r="I69" s="543"/>
      <c r="J69" s="543"/>
      <c r="K69" s="543"/>
      <c r="L69" s="543"/>
      <c r="M69" s="543"/>
      <c r="N69" s="543"/>
      <c r="O69" s="543"/>
      <c r="P69" s="543"/>
      <c r="Q69" s="543"/>
      <c r="R69" s="543"/>
    </row>
    <row r="70" spans="1:18" ht="3" customHeight="1" x14ac:dyDescent="0.25">
      <c r="A70" s="188"/>
      <c r="B70" s="182"/>
      <c r="C70" s="182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5">
      <c r="A71" s="188">
        <v>15</v>
      </c>
      <c r="B71" s="182" t="s">
        <v>284</v>
      </c>
      <c r="C71" s="182"/>
      <c r="D71" s="545" t="str">
        <f>IF('PA 7'!L7&lt;100%,"Taux d'occupation "&amp;('PA 7'!L7+'PA 7'!L12)*100&amp;"%","")</f>
        <v>Taux d'occupation 0%</v>
      </c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</row>
    <row r="72" spans="1:18" ht="3" customHeight="1" x14ac:dyDescent="0.25">
      <c r="A72" s="188"/>
      <c r="B72" s="182"/>
      <c r="C72" s="182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x14ac:dyDescent="0.25">
      <c r="A73" s="188"/>
      <c r="B73" s="182" t="s">
        <v>285</v>
      </c>
      <c r="C73" s="182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</row>
    <row r="74" spans="1:18" ht="3" customHeight="1" x14ac:dyDescent="0.25">
      <c r="A74" s="188"/>
      <c r="B74" s="182"/>
      <c r="C74" s="182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x14ac:dyDescent="0.25">
      <c r="A75" s="188"/>
      <c r="B75" s="182" t="s">
        <v>286</v>
      </c>
      <c r="C75" s="182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</row>
    <row r="76" spans="1:18" x14ac:dyDescent="0.25">
      <c r="A76" s="188"/>
      <c r="B76" s="182"/>
      <c r="C76" s="182"/>
    </row>
    <row r="77" spans="1:18" x14ac:dyDescent="0.25">
      <c r="A77" s="188" t="s">
        <v>287</v>
      </c>
      <c r="B77" s="182" t="s">
        <v>288</v>
      </c>
      <c r="C77" s="182"/>
      <c r="F77" s="182" t="s">
        <v>289</v>
      </c>
      <c r="G77" s="182"/>
      <c r="M77" s="554">
        <f>'Attestation du salaire (ord.)'!A8:A8</f>
        <v>0</v>
      </c>
      <c r="N77" s="554"/>
      <c r="O77" s="554"/>
      <c r="P77" s="554"/>
      <c r="Q77" s="554"/>
      <c r="R77" s="554"/>
    </row>
    <row r="78" spans="1:18" ht="9" customHeight="1" x14ac:dyDescent="0.25">
      <c r="B78" s="182"/>
      <c r="C78" s="182"/>
      <c r="F78" s="184" t="s">
        <v>290</v>
      </c>
      <c r="G78" s="184"/>
      <c r="M78" s="214"/>
      <c r="N78" s="214"/>
      <c r="O78" s="214"/>
      <c r="P78" s="214"/>
      <c r="Q78" s="214"/>
      <c r="R78" s="214"/>
    </row>
    <row r="79" spans="1:18" ht="13.5" customHeight="1" x14ac:dyDescent="0.25">
      <c r="B79" s="182"/>
      <c r="C79" s="182"/>
      <c r="F79" s="182" t="s">
        <v>291</v>
      </c>
      <c r="G79" s="182"/>
      <c r="M79" s="554">
        <f>'Attestation du salaire (ord.)'!A9:A9</f>
        <v>0</v>
      </c>
      <c r="N79" s="554"/>
      <c r="O79" s="554"/>
      <c r="P79" s="554"/>
      <c r="Q79" s="554"/>
      <c r="R79" s="554"/>
    </row>
    <row r="80" spans="1:18" ht="9" customHeight="1" x14ac:dyDescent="0.25">
      <c r="B80" s="182"/>
      <c r="C80" s="182"/>
      <c r="F80" s="184" t="s">
        <v>292</v>
      </c>
      <c r="G80" s="184"/>
      <c r="M80" s="214"/>
      <c r="N80" s="214"/>
      <c r="O80" s="214"/>
      <c r="P80" s="214"/>
      <c r="Q80" s="214"/>
      <c r="R80" s="214"/>
    </row>
    <row r="81" spans="2:18" ht="13.5" customHeight="1" x14ac:dyDescent="0.25">
      <c r="B81" s="182"/>
      <c r="C81" s="182"/>
      <c r="F81" s="182" t="s">
        <v>293</v>
      </c>
      <c r="G81" s="182"/>
      <c r="M81" s="554">
        <f>'Attestation du salaire (ord.)'!A10:A10</f>
        <v>0</v>
      </c>
      <c r="N81" s="554"/>
      <c r="O81" s="554"/>
      <c r="P81" s="554"/>
      <c r="Q81" s="554"/>
      <c r="R81" s="554"/>
    </row>
    <row r="82" spans="2:18" ht="9" customHeight="1" x14ac:dyDescent="0.25">
      <c r="B82" s="182"/>
      <c r="C82" s="182"/>
      <c r="F82" s="184" t="s">
        <v>294</v>
      </c>
      <c r="G82" s="184"/>
      <c r="M82" s="215"/>
      <c r="N82" s="215"/>
      <c r="O82" s="215"/>
      <c r="P82" s="215"/>
      <c r="Q82" s="215"/>
      <c r="R82" s="215"/>
    </row>
    <row r="83" spans="2:18" ht="13.5" customHeight="1" x14ac:dyDescent="0.25">
      <c r="B83" s="182"/>
      <c r="C83" s="182"/>
      <c r="I83" s="182"/>
      <c r="M83" s="554" t="str">
        <f>'CS 1'!M83:R83</f>
        <v>Entrez le numéro de téléphone ici</v>
      </c>
      <c r="N83" s="554"/>
      <c r="O83" s="554"/>
      <c r="P83" s="554"/>
      <c r="Q83" s="554"/>
      <c r="R83" s="554"/>
    </row>
    <row r="84" spans="2:18" x14ac:dyDescent="0.25">
      <c r="B84" s="182"/>
      <c r="C84" s="182"/>
    </row>
  </sheetData>
  <sheetProtection algorithmName="SHA-512" hashValue="Qj3vzP10T9KgyMYjyanpS2cXRq5sS3Tba/jMutvrCkhZiVmKsrLPKAHzIOgMUygrDmklJMr+cll+ky6M5FpYjQ==" saltValue="wjx8ThAeKqDHoMENYiOLfA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2" bestFit="1" customWidth="1"/>
    <col min="2" max="2" width="3.28515625" style="183" customWidth="1"/>
    <col min="3" max="3" width="12" style="183" customWidth="1"/>
    <col min="4" max="4" width="7.42578125" style="183" customWidth="1"/>
    <col min="5" max="5" width="1.85546875" style="183" customWidth="1"/>
    <col min="6" max="6" width="10.28515625" style="183" customWidth="1"/>
    <col min="7" max="7" width="1.7109375" style="183" customWidth="1"/>
    <col min="8" max="9" width="5.7109375" style="183" customWidth="1"/>
    <col min="10" max="11" width="6.28515625" style="183" customWidth="1"/>
    <col min="12" max="12" width="4" style="183" customWidth="1"/>
    <col min="13" max="13" width="2.140625" style="183" bestFit="1" customWidth="1"/>
    <col min="14" max="14" width="2.7109375" style="183" customWidth="1"/>
    <col min="15" max="15" width="14.7109375" style="183" customWidth="1"/>
    <col min="16" max="16" width="2.7109375" style="183" customWidth="1"/>
    <col min="17" max="17" width="1.7109375" style="183" customWidth="1"/>
    <col min="18" max="18" width="14.140625" style="183" customWidth="1"/>
    <col min="19" max="16384" width="11.42578125" style="183"/>
  </cols>
  <sheetData>
    <row r="1" spans="1:18" ht="18.75" x14ac:dyDescent="0.4">
      <c r="A1" s="188" t="s">
        <v>208</v>
      </c>
      <c r="B1" s="420" t="s">
        <v>209</v>
      </c>
      <c r="C1" s="207" t="s">
        <v>210</v>
      </c>
    </row>
    <row r="2" spans="1:18" ht="3" customHeight="1" x14ac:dyDescent="0.4">
      <c r="A2" s="188"/>
      <c r="C2" s="207"/>
    </row>
    <row r="3" spans="1:18" ht="18.75" x14ac:dyDescent="0.4">
      <c r="A3" s="188" t="s">
        <v>211</v>
      </c>
      <c r="B3" s="421"/>
      <c r="C3" s="207" t="s">
        <v>212</v>
      </c>
    </row>
    <row r="4" spans="1:18" ht="9" customHeight="1" x14ac:dyDescent="0.25">
      <c r="A4" s="188"/>
      <c r="C4" s="192"/>
    </row>
    <row r="5" spans="1:18" ht="13.5" customHeight="1" x14ac:dyDescent="0.25">
      <c r="A5" s="188" t="s">
        <v>213</v>
      </c>
      <c r="B5" s="546" t="str">
        <f>IF('PA 8'!$F$6="","",'PA 8'!$F$6)</f>
        <v/>
      </c>
      <c r="C5" s="546"/>
      <c r="D5" s="546"/>
      <c r="E5" s="546"/>
      <c r="F5" s="546"/>
      <c r="H5" s="547" cm="1">
        <f t="array" ref="H5">'PA 8'!F7:F7</f>
        <v>0</v>
      </c>
      <c r="I5" s="547"/>
      <c r="J5" s="547"/>
      <c r="K5" s="547"/>
      <c r="M5" s="193" t="s">
        <v>214</v>
      </c>
      <c r="N5" s="421"/>
      <c r="O5" s="549" t="s">
        <v>215</v>
      </c>
      <c r="P5" s="549"/>
      <c r="Q5" s="549"/>
      <c r="R5" s="549"/>
    </row>
    <row r="6" spans="1:18" x14ac:dyDescent="0.25">
      <c r="A6" s="188"/>
      <c r="B6" s="187" t="s">
        <v>216</v>
      </c>
      <c r="C6" s="198"/>
      <c r="D6" s="187"/>
      <c r="E6" s="198"/>
      <c r="F6" s="187"/>
      <c r="G6" s="187"/>
      <c r="H6" s="187" t="s">
        <v>217</v>
      </c>
      <c r="M6" s="193"/>
      <c r="O6" s="549"/>
      <c r="P6" s="549"/>
      <c r="Q6" s="549"/>
      <c r="R6" s="549"/>
    </row>
    <row r="7" spans="1:18" ht="13.5" customHeight="1" x14ac:dyDescent="0.25">
      <c r="A7" s="188" t="s">
        <v>218</v>
      </c>
      <c r="B7" s="548">
        <f>'PA 8'!A21</f>
        <v>45657</v>
      </c>
      <c r="C7" s="548"/>
      <c r="E7" s="188" t="s">
        <v>219</v>
      </c>
      <c r="F7" s="422">
        <f>IF('PA 8'!$Q$37=0,0,IF('PA 8'!$C$14&lt;'PA 8'!$C$21,'PA 8'!$C$21,'PA 8'!$C$14))</f>
        <v>0</v>
      </c>
      <c r="G7" s="422"/>
      <c r="H7" s="1"/>
      <c r="I7" s="547">
        <f>IF('PA 8'!$Q$37=0,0,IF('PA 8'!$C$15&gt;0,'PA 8'!$C$15,B7))</f>
        <v>0</v>
      </c>
      <c r="J7" s="547"/>
      <c r="M7" s="193" t="s">
        <v>220</v>
      </c>
      <c r="N7" s="421"/>
      <c r="O7" s="549" t="s">
        <v>221</v>
      </c>
      <c r="P7" s="549"/>
      <c r="Q7" s="549"/>
      <c r="R7" s="549"/>
    </row>
    <row r="8" spans="1:18" x14ac:dyDescent="0.25">
      <c r="A8" s="188"/>
      <c r="B8" s="187" t="s">
        <v>222</v>
      </c>
      <c r="C8" s="187"/>
      <c r="D8" s="187"/>
      <c r="E8" s="187"/>
      <c r="F8" s="187" t="s">
        <v>223</v>
      </c>
      <c r="G8" s="187"/>
      <c r="H8" s="187"/>
      <c r="I8" s="187" t="s">
        <v>224</v>
      </c>
      <c r="M8" s="193"/>
      <c r="O8" s="549"/>
      <c r="P8" s="549"/>
      <c r="Q8" s="549"/>
      <c r="R8" s="549"/>
    </row>
    <row r="9" spans="1:18" x14ac:dyDescent="0.25">
      <c r="A9" s="188" t="s">
        <v>225</v>
      </c>
    </row>
    <row r="10" spans="1:18" x14ac:dyDescent="0.25">
      <c r="A10" s="188"/>
    </row>
    <row r="11" spans="1:18" x14ac:dyDescent="0.25">
      <c r="A11" s="188"/>
      <c r="L11" s="1" t="str">
        <f>CONCATENATE('PA 8'!C6:C6," ",'PA 8'!C7:C7)</f>
        <v xml:space="preserve"> </v>
      </c>
    </row>
    <row r="12" spans="1:18" x14ac:dyDescent="0.25">
      <c r="A12" s="188"/>
      <c r="L12" s="1">
        <f>'PA 8'!C8:C8</f>
        <v>0</v>
      </c>
    </row>
    <row r="13" spans="1:18" x14ac:dyDescent="0.25">
      <c r="A13" s="188"/>
      <c r="L13" s="1">
        <f>'PA 8'!C9:C9</f>
        <v>0</v>
      </c>
    </row>
    <row r="14" spans="1:18" x14ac:dyDescent="0.25">
      <c r="A14" s="188"/>
    </row>
    <row r="15" spans="1:18" x14ac:dyDescent="0.25">
      <c r="A15" s="188"/>
    </row>
    <row r="16" spans="1:18" x14ac:dyDescent="0.25">
      <c r="A16" s="188"/>
    </row>
    <row r="17" spans="1:18" x14ac:dyDescent="0.25">
      <c r="A17" s="188"/>
    </row>
    <row r="18" spans="1:18" ht="13.5" customHeight="1" x14ac:dyDescent="0.25">
      <c r="A18" s="188"/>
      <c r="R18" s="550" t="s">
        <v>226</v>
      </c>
    </row>
    <row r="19" spans="1:18" x14ac:dyDescent="0.25">
      <c r="A19" s="188">
        <v>1</v>
      </c>
      <c r="B19" s="182" t="s">
        <v>227</v>
      </c>
      <c r="C19" s="182"/>
      <c r="D19" s="182" t="s">
        <v>228</v>
      </c>
      <c r="E19" s="182"/>
      <c r="F19" s="182"/>
      <c r="G19" s="182"/>
      <c r="H19" s="182"/>
      <c r="I19" s="182"/>
      <c r="J19" s="186" t="s">
        <v>229</v>
      </c>
      <c r="K19" s="186"/>
      <c r="L19" s="182"/>
      <c r="M19" s="182"/>
      <c r="N19" s="182"/>
      <c r="Q19" s="206"/>
      <c r="R19" s="550"/>
    </row>
    <row r="20" spans="1:18" x14ac:dyDescent="0.25">
      <c r="A20" s="188"/>
      <c r="B20" s="182" t="s">
        <v>230</v>
      </c>
      <c r="C20" s="182"/>
      <c r="D20" s="182" t="s">
        <v>231</v>
      </c>
      <c r="E20" s="182"/>
      <c r="F20" s="182"/>
      <c r="G20" s="182"/>
      <c r="H20" s="182"/>
      <c r="I20" s="182"/>
      <c r="J20" s="186" t="s">
        <v>229</v>
      </c>
      <c r="K20" s="186"/>
      <c r="L20" s="182"/>
      <c r="M20" s="182"/>
      <c r="N20" s="182"/>
      <c r="Q20" s="206"/>
      <c r="R20" s="550"/>
    </row>
    <row r="21" spans="1:18" x14ac:dyDescent="0.25">
      <c r="A21" s="188"/>
      <c r="B21" s="194" t="s">
        <v>232</v>
      </c>
      <c r="C21" s="194"/>
      <c r="D21" s="194" t="s">
        <v>233</v>
      </c>
      <c r="E21" s="194"/>
      <c r="F21" s="194"/>
      <c r="G21" s="194"/>
      <c r="H21" s="194"/>
      <c r="I21" s="194"/>
      <c r="J21" s="195" t="s">
        <v>234</v>
      </c>
      <c r="K21" s="195"/>
      <c r="L21" s="194"/>
      <c r="M21" s="194"/>
      <c r="N21" s="194"/>
      <c r="O21" s="196"/>
      <c r="P21" s="196"/>
      <c r="R21" s="423">
        <f>'PA 8'!Q37-'PA 8'!Q31</f>
        <v>0</v>
      </c>
    </row>
    <row r="22" spans="1:18" ht="3" customHeight="1" x14ac:dyDescent="0.25">
      <c r="A22" s="188"/>
      <c r="B22" s="182"/>
      <c r="C22" s="182"/>
      <c r="D22" s="182"/>
      <c r="E22" s="182"/>
      <c r="F22" s="199"/>
      <c r="G22" s="199"/>
      <c r="H22" s="199"/>
      <c r="I22" s="199"/>
      <c r="J22" s="200"/>
      <c r="K22" s="200"/>
      <c r="L22" s="199"/>
      <c r="M22" s="199"/>
      <c r="N22" s="199"/>
      <c r="O22" s="201"/>
      <c r="P22" s="201"/>
      <c r="R22" s="208"/>
    </row>
    <row r="23" spans="1:18" x14ac:dyDescent="0.25">
      <c r="A23" s="188">
        <v>2</v>
      </c>
      <c r="B23" s="182" t="s">
        <v>235</v>
      </c>
      <c r="C23" s="182"/>
      <c r="D23" s="182"/>
      <c r="E23" s="182"/>
      <c r="F23" s="194" t="s">
        <v>296</v>
      </c>
      <c r="G23" s="194"/>
      <c r="H23" s="194"/>
      <c r="I23" s="196"/>
      <c r="J23" s="194"/>
      <c r="K23" s="194"/>
      <c r="L23" s="194"/>
      <c r="M23" s="194"/>
      <c r="N23" s="194"/>
      <c r="O23" s="196"/>
      <c r="P23" s="196"/>
      <c r="Q23" s="185" t="s">
        <v>237</v>
      </c>
      <c r="R23" s="424">
        <f>'PA 8'!Q31</f>
        <v>0</v>
      </c>
    </row>
    <row r="24" spans="1:18" ht="3" customHeight="1" x14ac:dyDescent="0.25">
      <c r="A24" s="188"/>
      <c r="B24" s="182"/>
      <c r="C24" s="182"/>
      <c r="D24" s="182"/>
      <c r="E24" s="182"/>
      <c r="F24" s="199"/>
      <c r="G24" s="199"/>
      <c r="H24" s="199"/>
      <c r="I24" s="201"/>
      <c r="J24" s="199"/>
      <c r="K24" s="199"/>
      <c r="L24" s="199"/>
      <c r="M24" s="199"/>
      <c r="N24" s="199"/>
      <c r="O24" s="201"/>
      <c r="P24" s="201"/>
      <c r="Q24" s="185"/>
      <c r="R24" s="208"/>
    </row>
    <row r="25" spans="1:18" x14ac:dyDescent="0.25">
      <c r="A25" s="188"/>
      <c r="B25" s="182" t="s">
        <v>238</v>
      </c>
      <c r="C25" s="182"/>
      <c r="D25" s="182"/>
      <c r="E25" s="182"/>
      <c r="F25" s="194" t="s">
        <v>297</v>
      </c>
      <c r="G25" s="194"/>
      <c r="H25" s="194"/>
      <c r="I25" s="194"/>
      <c r="J25" s="194"/>
      <c r="K25" s="194"/>
      <c r="L25" s="194"/>
      <c r="M25" s="194"/>
      <c r="N25" s="194"/>
      <c r="O25" s="196"/>
      <c r="P25" s="196"/>
      <c r="Q25" s="185" t="s">
        <v>237</v>
      </c>
      <c r="R25" s="424"/>
    </row>
    <row r="26" spans="1:18" ht="3" customHeight="1" x14ac:dyDescent="0.25">
      <c r="A26" s="1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Q26" s="185"/>
      <c r="R26" s="209"/>
    </row>
    <row r="27" spans="1:18" x14ac:dyDescent="0.25">
      <c r="A27" s="188"/>
      <c r="B27" s="182" t="s">
        <v>240</v>
      </c>
      <c r="C27" s="182"/>
      <c r="D27" s="182"/>
      <c r="E27" s="182"/>
      <c r="F27" s="182" t="s">
        <v>298</v>
      </c>
      <c r="G27" s="182"/>
      <c r="H27" s="182"/>
      <c r="I27" s="182"/>
      <c r="J27" s="542"/>
      <c r="K27" s="542"/>
      <c r="L27" s="542"/>
      <c r="M27" s="542"/>
      <c r="N27" s="542"/>
      <c r="O27" s="542"/>
      <c r="P27" s="542"/>
      <c r="Q27" s="185" t="s">
        <v>237</v>
      </c>
      <c r="R27" s="424"/>
    </row>
    <row r="28" spans="1:18" ht="9.75" customHeight="1" x14ac:dyDescent="0.25">
      <c r="A28" s="188"/>
      <c r="B28" s="182"/>
      <c r="C28" s="182"/>
      <c r="D28" s="182"/>
      <c r="E28" s="182"/>
      <c r="F28" s="184" t="s">
        <v>242</v>
      </c>
      <c r="G28" s="184"/>
      <c r="H28" s="184"/>
      <c r="I28" s="182"/>
      <c r="J28" s="182"/>
      <c r="K28" s="182"/>
      <c r="L28" s="182"/>
      <c r="M28" s="182"/>
      <c r="N28" s="182"/>
      <c r="R28" s="210"/>
    </row>
    <row r="29" spans="1:18" x14ac:dyDescent="0.25">
      <c r="A29" s="188">
        <v>3</v>
      </c>
      <c r="B29" s="182" t="s">
        <v>243</v>
      </c>
      <c r="C29" s="182"/>
      <c r="D29" s="182"/>
      <c r="E29" s="182"/>
      <c r="F29" s="182"/>
      <c r="G29" s="182"/>
      <c r="H29" s="182"/>
      <c r="I29" s="182"/>
      <c r="J29" s="182"/>
      <c r="K29" s="184" t="s">
        <v>242</v>
      </c>
      <c r="M29" s="182"/>
      <c r="N29" s="182"/>
      <c r="Q29" s="185" t="s">
        <v>237</v>
      </c>
      <c r="R29" s="210"/>
    </row>
    <row r="30" spans="1:18" x14ac:dyDescent="0.25">
      <c r="A30" s="188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R30" s="424"/>
    </row>
    <row r="31" spans="1:18" ht="3" customHeight="1" x14ac:dyDescent="0.25">
      <c r="A31" s="18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R31" s="208"/>
    </row>
    <row r="32" spans="1:18" x14ac:dyDescent="0.25">
      <c r="A32" s="188">
        <v>4</v>
      </c>
      <c r="B32" s="182" t="s">
        <v>244</v>
      </c>
      <c r="C32" s="182"/>
      <c r="D32" s="182"/>
      <c r="E32" s="182"/>
      <c r="F32" s="182"/>
      <c r="G32" s="182"/>
      <c r="H32" s="182"/>
      <c r="I32" s="542"/>
      <c r="J32" s="542"/>
      <c r="K32" s="542"/>
      <c r="L32" s="542"/>
      <c r="M32" s="542"/>
      <c r="N32" s="542"/>
      <c r="O32" s="542"/>
      <c r="P32" s="542"/>
      <c r="Q32" s="185" t="s">
        <v>237</v>
      </c>
      <c r="R32" s="424"/>
    </row>
    <row r="33" spans="1:18" ht="9" customHeight="1" x14ac:dyDescent="0.25">
      <c r="A33" s="188"/>
      <c r="B33" s="184" t="s">
        <v>242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R33" s="210"/>
    </row>
    <row r="34" spans="1:18" x14ac:dyDescent="0.25">
      <c r="A34" s="188">
        <v>5</v>
      </c>
      <c r="B34" s="194" t="s">
        <v>245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6"/>
      <c r="P34" s="196"/>
      <c r="Q34" s="185" t="s">
        <v>237</v>
      </c>
      <c r="R34" s="424"/>
    </row>
    <row r="35" spans="1:18" ht="3" customHeight="1" x14ac:dyDescent="0.25">
      <c r="A35" s="18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Q35" s="185"/>
      <c r="R35" s="209"/>
    </row>
    <row r="36" spans="1:18" x14ac:dyDescent="0.25">
      <c r="A36" s="188">
        <v>6</v>
      </c>
      <c r="B36" s="194" t="s">
        <v>246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6"/>
      <c r="P36" s="196"/>
      <c r="Q36" s="185" t="s">
        <v>237</v>
      </c>
      <c r="R36" s="424"/>
    </row>
    <row r="37" spans="1:18" ht="3" customHeight="1" x14ac:dyDescent="0.25">
      <c r="A37" s="18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Q37" s="185"/>
      <c r="R37" s="209"/>
    </row>
    <row r="38" spans="1:18" x14ac:dyDescent="0.25">
      <c r="A38" s="188">
        <v>7</v>
      </c>
      <c r="B38" s="182" t="s">
        <v>247</v>
      </c>
      <c r="C38" s="182"/>
      <c r="D38" s="182"/>
      <c r="E38" s="182"/>
      <c r="F38" s="182"/>
      <c r="G38" s="182"/>
      <c r="H38" s="182"/>
      <c r="I38" s="542"/>
      <c r="J38" s="542"/>
      <c r="K38" s="542"/>
      <c r="L38" s="542"/>
      <c r="M38" s="542"/>
      <c r="N38" s="542"/>
      <c r="O38" s="542"/>
      <c r="P38" s="542"/>
      <c r="Q38" s="185" t="s">
        <v>237</v>
      </c>
      <c r="R38" s="424"/>
    </row>
    <row r="39" spans="1:18" ht="9" customHeight="1" x14ac:dyDescent="0.25">
      <c r="A39" s="188"/>
      <c r="B39" s="184" t="s">
        <v>242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R39" s="210"/>
    </row>
    <row r="40" spans="1:18" x14ac:dyDescent="0.25">
      <c r="A40" s="188">
        <v>8</v>
      </c>
      <c r="B40" s="194" t="s">
        <v>248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6"/>
      <c r="P40" s="196"/>
      <c r="Q40" s="185" t="s">
        <v>249</v>
      </c>
      <c r="R40" s="424">
        <f>SUM(R21:R39)</f>
        <v>0</v>
      </c>
    </row>
    <row r="41" spans="1:18" ht="3" customHeight="1" x14ac:dyDescent="0.25">
      <c r="A41" s="18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Q41" s="185"/>
      <c r="R41" s="209"/>
    </row>
    <row r="42" spans="1:18" x14ac:dyDescent="0.25">
      <c r="A42" s="188">
        <v>9</v>
      </c>
      <c r="B42" s="194" t="s">
        <v>250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6"/>
      <c r="P42" s="196"/>
      <c r="Q42" s="185" t="s">
        <v>36</v>
      </c>
      <c r="R42" s="424">
        <f>('PA 8'!Q40+'PA 8'!Q41+'PA 8'!Q42)*-1</f>
        <v>0</v>
      </c>
    </row>
    <row r="43" spans="1:18" ht="3" customHeight="1" x14ac:dyDescent="0.25">
      <c r="A43" s="188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Q43" s="185"/>
      <c r="R43" s="209"/>
    </row>
    <row r="44" spans="1:18" x14ac:dyDescent="0.25">
      <c r="A44" s="188">
        <v>10</v>
      </c>
      <c r="B44" s="182" t="s">
        <v>251</v>
      </c>
      <c r="C44" s="182"/>
      <c r="D44" s="182"/>
      <c r="E44" s="182" t="s">
        <v>252</v>
      </c>
      <c r="F44" s="182"/>
      <c r="G44" s="182"/>
      <c r="H44" s="194" t="s">
        <v>299</v>
      </c>
      <c r="I44" s="196"/>
      <c r="J44" s="194"/>
      <c r="K44" s="194"/>
      <c r="L44" s="194"/>
      <c r="M44" s="194"/>
      <c r="N44" s="194"/>
      <c r="O44" s="196"/>
      <c r="P44" s="196"/>
      <c r="Q44" s="185" t="s">
        <v>36</v>
      </c>
      <c r="R44" s="424">
        <f>'PA 8'!Q44*-1</f>
        <v>0</v>
      </c>
    </row>
    <row r="45" spans="1:18" x14ac:dyDescent="0.25">
      <c r="A45" s="188"/>
      <c r="B45" s="182" t="s">
        <v>254</v>
      </c>
      <c r="C45" s="182"/>
      <c r="D45" s="182"/>
      <c r="E45" s="182" t="s">
        <v>300</v>
      </c>
      <c r="F45" s="182"/>
      <c r="G45" s="182"/>
      <c r="H45" s="182"/>
      <c r="J45" s="182"/>
      <c r="K45" s="182"/>
      <c r="L45" s="182"/>
      <c r="M45" s="182"/>
      <c r="N45" s="182"/>
      <c r="R45" s="210"/>
    </row>
    <row r="46" spans="1:18" x14ac:dyDescent="0.25">
      <c r="A46" s="188"/>
      <c r="B46" s="182" t="s">
        <v>256</v>
      </c>
      <c r="C46" s="182"/>
      <c r="E46" s="182" t="s">
        <v>301</v>
      </c>
      <c r="H46" s="194" t="s">
        <v>302</v>
      </c>
      <c r="I46" s="196"/>
      <c r="J46" s="196"/>
      <c r="K46" s="196"/>
      <c r="L46" s="196"/>
      <c r="M46" s="196"/>
      <c r="N46" s="196"/>
      <c r="O46" s="196"/>
      <c r="P46" s="196"/>
      <c r="Q46" s="185" t="s">
        <v>36</v>
      </c>
      <c r="R46" s="424"/>
    </row>
    <row r="47" spans="1:18" ht="3" customHeight="1" x14ac:dyDescent="0.25">
      <c r="A47" s="188"/>
      <c r="B47" s="182"/>
      <c r="C47" s="182"/>
      <c r="E47" s="182"/>
      <c r="H47" s="182"/>
      <c r="Q47" s="185"/>
      <c r="R47" s="209"/>
    </row>
    <row r="48" spans="1:18" x14ac:dyDescent="0.25">
      <c r="A48" s="188">
        <v>11</v>
      </c>
      <c r="B48" s="197" t="s">
        <v>259</v>
      </c>
      <c r="C48" s="194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85" t="s">
        <v>249</v>
      </c>
      <c r="R48" s="424">
        <f>R40-SUM(R42:R46)</f>
        <v>0</v>
      </c>
    </row>
    <row r="49" spans="1:18" ht="9" customHeight="1" x14ac:dyDescent="0.25">
      <c r="A49" s="188"/>
      <c r="B49" s="189" t="s">
        <v>260</v>
      </c>
      <c r="C49" s="182"/>
      <c r="R49" s="210"/>
    </row>
    <row r="50" spans="1:18" x14ac:dyDescent="0.25">
      <c r="A50" s="188">
        <v>12</v>
      </c>
      <c r="B50" s="194" t="s">
        <v>261</v>
      </c>
      <c r="C50" s="194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R50" s="424">
        <f>'PA 8'!Q46*-1</f>
        <v>0</v>
      </c>
    </row>
    <row r="51" spans="1:18" x14ac:dyDescent="0.25">
      <c r="A51" s="188">
        <v>13</v>
      </c>
      <c r="B51" s="182" t="s">
        <v>262</v>
      </c>
      <c r="C51" s="182"/>
      <c r="R51" s="211"/>
    </row>
    <row r="52" spans="1:18" ht="9" customHeight="1" x14ac:dyDescent="0.25">
      <c r="B52" s="184" t="s">
        <v>263</v>
      </c>
      <c r="R52" s="211"/>
    </row>
    <row r="53" spans="1:18" ht="13.5" customHeight="1" x14ac:dyDescent="0.25">
      <c r="A53" s="551">
        <v>13.1</v>
      </c>
      <c r="B53" s="551"/>
      <c r="C53" s="553" t="s">
        <v>264</v>
      </c>
      <c r="D53" s="190" t="s">
        <v>265</v>
      </c>
      <c r="E53" s="194" t="s">
        <v>266</v>
      </c>
      <c r="F53" s="194"/>
      <c r="G53" s="194"/>
      <c r="H53" s="194"/>
      <c r="I53" s="196"/>
      <c r="J53" s="196"/>
      <c r="K53" s="196"/>
      <c r="L53" s="196"/>
      <c r="M53" s="196"/>
      <c r="N53" s="196"/>
      <c r="O53" s="196"/>
      <c r="P53" s="420" t="s">
        <v>209</v>
      </c>
      <c r="R53" s="426"/>
    </row>
    <row r="54" spans="1:18" ht="3" customHeight="1" x14ac:dyDescent="0.25">
      <c r="A54" s="203"/>
      <c r="B54" s="203"/>
      <c r="C54" s="553"/>
      <c r="D54" s="190"/>
      <c r="E54" s="182"/>
      <c r="F54" s="182"/>
      <c r="G54" s="182"/>
      <c r="H54" s="182"/>
      <c r="R54" s="212"/>
    </row>
    <row r="55" spans="1:18" x14ac:dyDescent="0.25">
      <c r="A55" s="188"/>
      <c r="B55" s="188"/>
      <c r="C55" s="553"/>
      <c r="D55" s="191" t="s">
        <v>267</v>
      </c>
      <c r="E55" s="182" t="s">
        <v>268</v>
      </c>
      <c r="F55" s="182"/>
      <c r="G55" s="182"/>
      <c r="H55" s="182"/>
      <c r="I55" s="543"/>
      <c r="J55" s="543"/>
      <c r="K55" s="543"/>
      <c r="L55" s="543"/>
      <c r="M55" s="543"/>
      <c r="N55" s="543"/>
      <c r="O55" s="543"/>
      <c r="P55" s="543"/>
      <c r="R55" s="426"/>
    </row>
    <row r="56" spans="1:18" ht="9" customHeight="1" x14ac:dyDescent="0.25">
      <c r="A56" s="188"/>
      <c r="B56" s="188"/>
      <c r="C56" s="553"/>
      <c r="D56" s="192"/>
      <c r="E56" s="187" t="s">
        <v>242</v>
      </c>
      <c r="R56" s="211"/>
    </row>
    <row r="57" spans="1:18" x14ac:dyDescent="0.25">
      <c r="A57" s="552">
        <v>13.2</v>
      </c>
      <c r="B57" s="552"/>
      <c r="C57" s="182" t="s">
        <v>269</v>
      </c>
      <c r="D57" s="191" t="s">
        <v>270</v>
      </c>
      <c r="E57" s="194" t="s">
        <v>271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R57" s="426"/>
    </row>
    <row r="58" spans="1:18" ht="3" customHeight="1" x14ac:dyDescent="0.25">
      <c r="A58" s="204"/>
      <c r="B58" s="204"/>
      <c r="C58" s="182"/>
      <c r="D58" s="191"/>
      <c r="E58" s="182"/>
      <c r="R58" s="213"/>
    </row>
    <row r="59" spans="1:18" x14ac:dyDescent="0.25">
      <c r="A59" s="188"/>
      <c r="B59" s="188"/>
      <c r="C59" s="182" t="s">
        <v>272</v>
      </c>
      <c r="D59" s="191" t="s">
        <v>273</v>
      </c>
      <c r="E59" s="194" t="s">
        <v>274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R59" s="426"/>
    </row>
    <row r="60" spans="1:18" ht="3" customHeight="1" x14ac:dyDescent="0.25">
      <c r="A60" s="188"/>
      <c r="B60" s="188"/>
      <c r="C60" s="182"/>
      <c r="D60" s="191"/>
      <c r="E60" s="182"/>
      <c r="I60" s="201"/>
      <c r="J60" s="201"/>
      <c r="K60" s="201"/>
      <c r="L60" s="201"/>
      <c r="M60" s="201"/>
      <c r="N60" s="201"/>
      <c r="O60" s="201"/>
      <c r="P60" s="201"/>
      <c r="R60" s="213"/>
    </row>
    <row r="61" spans="1:18" x14ac:dyDescent="0.25">
      <c r="A61" s="188"/>
      <c r="B61" s="188"/>
      <c r="C61" s="182" t="s">
        <v>275</v>
      </c>
      <c r="D61" s="191" t="s">
        <v>276</v>
      </c>
      <c r="E61" s="182" t="s">
        <v>268</v>
      </c>
      <c r="I61" s="543"/>
      <c r="J61" s="543"/>
      <c r="K61" s="543"/>
      <c r="L61" s="543"/>
      <c r="M61" s="543"/>
      <c r="N61" s="543"/>
      <c r="O61" s="543"/>
      <c r="P61" s="543"/>
      <c r="R61" s="426"/>
    </row>
    <row r="62" spans="1:18" ht="9" customHeight="1" x14ac:dyDescent="0.25">
      <c r="B62" s="182"/>
      <c r="C62" s="182"/>
      <c r="E62" s="187" t="s">
        <v>242</v>
      </c>
      <c r="R62" s="211"/>
    </row>
    <row r="63" spans="1:18" x14ac:dyDescent="0.25">
      <c r="A63" s="551">
        <v>13.3</v>
      </c>
      <c r="B63" s="551"/>
      <c r="C63" s="194" t="s">
        <v>277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R63" s="426"/>
    </row>
    <row r="64" spans="1:18" ht="3" customHeight="1" x14ac:dyDescent="0.25">
      <c r="A64" s="203"/>
      <c r="B64" s="203"/>
      <c r="C64" s="182"/>
    </row>
    <row r="65" spans="1:18" x14ac:dyDescent="0.25">
      <c r="A65" s="188">
        <v>14</v>
      </c>
      <c r="B65" s="182" t="s">
        <v>278</v>
      </c>
      <c r="C65" s="182"/>
      <c r="F65" s="182" t="s">
        <v>279</v>
      </c>
      <c r="G65" s="182"/>
      <c r="H65" s="182"/>
      <c r="I65" s="543"/>
      <c r="J65" s="543"/>
      <c r="K65" s="543"/>
      <c r="L65" s="543"/>
      <c r="M65" s="543"/>
      <c r="N65" s="543"/>
      <c r="O65" s="543"/>
      <c r="P65" s="543"/>
      <c r="Q65" s="543"/>
      <c r="R65" s="543"/>
    </row>
    <row r="66" spans="1:18" ht="3" customHeight="1" x14ac:dyDescent="0.25">
      <c r="A66" s="188"/>
      <c r="B66" s="182"/>
      <c r="C66" s="182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5">
      <c r="A67" s="188"/>
      <c r="B67" s="182" t="s">
        <v>280</v>
      </c>
      <c r="C67" s="182"/>
      <c r="F67" s="182" t="s">
        <v>281</v>
      </c>
      <c r="G67" s="182"/>
      <c r="H67" s="182"/>
      <c r="I67" s="543"/>
      <c r="J67" s="543"/>
      <c r="K67" s="543"/>
      <c r="L67" s="543"/>
      <c r="M67" s="543"/>
      <c r="N67" s="543"/>
      <c r="O67" s="543"/>
      <c r="P67" s="543"/>
      <c r="Q67" s="543"/>
      <c r="R67" s="543"/>
    </row>
    <row r="68" spans="1:18" ht="3" customHeight="1" x14ac:dyDescent="0.25">
      <c r="A68" s="188"/>
      <c r="B68" s="182"/>
      <c r="C68" s="182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5">
      <c r="A69" s="188"/>
      <c r="B69" s="182" t="s">
        <v>282</v>
      </c>
      <c r="C69" s="182"/>
      <c r="F69" s="182" t="s">
        <v>283</v>
      </c>
      <c r="G69" s="182"/>
      <c r="H69" s="182"/>
      <c r="I69" s="543"/>
      <c r="J69" s="543"/>
      <c r="K69" s="543"/>
      <c r="L69" s="543"/>
      <c r="M69" s="543"/>
      <c r="N69" s="543"/>
      <c r="O69" s="543"/>
      <c r="P69" s="543"/>
      <c r="Q69" s="543"/>
      <c r="R69" s="543"/>
    </row>
    <row r="70" spans="1:18" ht="3" customHeight="1" x14ac:dyDescent="0.25">
      <c r="A70" s="188"/>
      <c r="B70" s="182"/>
      <c r="C70" s="182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5">
      <c r="A71" s="188">
        <v>15</v>
      </c>
      <c r="B71" s="182" t="s">
        <v>284</v>
      </c>
      <c r="C71" s="182"/>
      <c r="D71" s="545" t="str">
        <f>IF('PA 8'!L7&lt;100%,"Taux d'occupation "&amp;('PA 8'!L7+'PA 8'!L12)*100&amp;"%","")</f>
        <v>Taux d'occupation 0%</v>
      </c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</row>
    <row r="72" spans="1:18" ht="3" customHeight="1" x14ac:dyDescent="0.25">
      <c r="A72" s="188"/>
      <c r="B72" s="182"/>
      <c r="C72" s="182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x14ac:dyDescent="0.25">
      <c r="A73" s="188"/>
      <c r="B73" s="182" t="s">
        <v>285</v>
      </c>
      <c r="C73" s="182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</row>
    <row r="74" spans="1:18" ht="3" customHeight="1" x14ac:dyDescent="0.25">
      <c r="A74" s="188"/>
      <c r="B74" s="182"/>
      <c r="C74" s="182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x14ac:dyDescent="0.25">
      <c r="A75" s="188"/>
      <c r="B75" s="182" t="s">
        <v>286</v>
      </c>
      <c r="C75" s="182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</row>
    <row r="76" spans="1:18" x14ac:dyDescent="0.25">
      <c r="A76" s="188"/>
      <c r="B76" s="182"/>
      <c r="C76" s="182"/>
    </row>
    <row r="77" spans="1:18" x14ac:dyDescent="0.25">
      <c r="A77" s="188" t="s">
        <v>287</v>
      </c>
      <c r="B77" s="182" t="s">
        <v>288</v>
      </c>
      <c r="C77" s="182"/>
      <c r="F77" s="182" t="s">
        <v>289</v>
      </c>
      <c r="G77" s="182"/>
      <c r="M77" s="554">
        <f>'Attestation du salaire (ord.)'!A8:A8</f>
        <v>0</v>
      </c>
      <c r="N77" s="554"/>
      <c r="O77" s="554"/>
      <c r="P77" s="554"/>
      <c r="Q77" s="554"/>
      <c r="R77" s="554"/>
    </row>
    <row r="78" spans="1:18" ht="9" customHeight="1" x14ac:dyDescent="0.25">
      <c r="B78" s="182"/>
      <c r="C78" s="182"/>
      <c r="F78" s="184" t="s">
        <v>290</v>
      </c>
      <c r="G78" s="184"/>
      <c r="M78" s="214"/>
      <c r="N78" s="214"/>
      <c r="O78" s="214"/>
      <c r="P78" s="214"/>
      <c r="Q78" s="214"/>
      <c r="R78" s="214"/>
    </row>
    <row r="79" spans="1:18" ht="13.5" customHeight="1" x14ac:dyDescent="0.25">
      <c r="B79" s="182"/>
      <c r="C79" s="182"/>
      <c r="F79" s="182" t="s">
        <v>291</v>
      </c>
      <c r="G79" s="182"/>
      <c r="M79" s="554">
        <f>'Attestation du salaire (ord.)'!A9:A9</f>
        <v>0</v>
      </c>
      <c r="N79" s="554"/>
      <c r="O79" s="554"/>
      <c r="P79" s="554"/>
      <c r="Q79" s="554"/>
      <c r="R79" s="554"/>
    </row>
    <row r="80" spans="1:18" ht="9" customHeight="1" x14ac:dyDescent="0.25">
      <c r="B80" s="182"/>
      <c r="C80" s="182"/>
      <c r="F80" s="184" t="s">
        <v>292</v>
      </c>
      <c r="G80" s="184"/>
      <c r="M80" s="214"/>
      <c r="N80" s="214"/>
      <c r="O80" s="214"/>
      <c r="P80" s="214"/>
      <c r="Q80" s="214"/>
      <c r="R80" s="214"/>
    </row>
    <row r="81" spans="2:18" ht="13.5" customHeight="1" x14ac:dyDescent="0.25">
      <c r="B81" s="182"/>
      <c r="C81" s="182"/>
      <c r="F81" s="182" t="s">
        <v>293</v>
      </c>
      <c r="G81" s="182"/>
      <c r="M81" s="554">
        <f>'Attestation du salaire (ord.)'!A10:A10</f>
        <v>0</v>
      </c>
      <c r="N81" s="554"/>
      <c r="O81" s="554"/>
      <c r="P81" s="554"/>
      <c r="Q81" s="554"/>
      <c r="R81" s="554"/>
    </row>
    <row r="82" spans="2:18" ht="9" customHeight="1" x14ac:dyDescent="0.25">
      <c r="B82" s="182"/>
      <c r="C82" s="182"/>
      <c r="F82" s="184" t="s">
        <v>294</v>
      </c>
      <c r="G82" s="184"/>
      <c r="M82" s="215"/>
      <c r="N82" s="215"/>
      <c r="O82" s="215"/>
      <c r="P82" s="215"/>
      <c r="Q82" s="215"/>
      <c r="R82" s="215"/>
    </row>
    <row r="83" spans="2:18" ht="13.5" customHeight="1" x14ac:dyDescent="0.25">
      <c r="B83" s="182"/>
      <c r="C83" s="182"/>
      <c r="I83" s="182"/>
      <c r="M83" s="554" t="str">
        <f>'CS 1'!M83:R83</f>
        <v>Entrez le numéro de téléphone ici</v>
      </c>
      <c r="N83" s="554"/>
      <c r="O83" s="554"/>
      <c r="P83" s="554"/>
      <c r="Q83" s="554"/>
      <c r="R83" s="554"/>
    </row>
    <row r="84" spans="2:18" x14ac:dyDescent="0.25">
      <c r="B84" s="182"/>
      <c r="C84" s="182"/>
    </row>
  </sheetData>
  <sheetProtection algorithmName="SHA-512" hashValue="QzxZdRbVn6fr0WBpXUGxfEXolfL0pllWe54gangGnVK1mRzwZ9QKnpB+AWoPdC+HnUUBt63qPs/G7rvJa82pTQ==" saltValue="kAoxJGKB8DnxH96Yl+/O7A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2" bestFit="1" customWidth="1"/>
    <col min="2" max="2" width="3.28515625" style="183" customWidth="1"/>
    <col min="3" max="3" width="12" style="183" customWidth="1"/>
    <col min="4" max="4" width="7.42578125" style="183" customWidth="1"/>
    <col min="5" max="5" width="1.85546875" style="183" customWidth="1"/>
    <col min="6" max="6" width="10.28515625" style="183" customWidth="1"/>
    <col min="7" max="7" width="1.7109375" style="183" customWidth="1"/>
    <col min="8" max="9" width="5.7109375" style="183" customWidth="1"/>
    <col min="10" max="11" width="6.28515625" style="183" customWidth="1"/>
    <col min="12" max="12" width="4" style="183" customWidth="1"/>
    <col min="13" max="13" width="2.140625" style="183" bestFit="1" customWidth="1"/>
    <col min="14" max="14" width="2.7109375" style="183" customWidth="1"/>
    <col min="15" max="15" width="14.7109375" style="183" customWidth="1"/>
    <col min="16" max="16" width="2.7109375" style="183" customWidth="1"/>
    <col min="17" max="17" width="1.7109375" style="183" customWidth="1"/>
    <col min="18" max="18" width="14.140625" style="183" customWidth="1"/>
    <col min="19" max="16384" width="11.42578125" style="183"/>
  </cols>
  <sheetData>
    <row r="1" spans="1:18" ht="18.75" x14ac:dyDescent="0.4">
      <c r="A1" s="188" t="s">
        <v>208</v>
      </c>
      <c r="B1" s="420" t="s">
        <v>209</v>
      </c>
      <c r="C1" s="207" t="s">
        <v>210</v>
      </c>
    </row>
    <row r="2" spans="1:18" ht="3" customHeight="1" x14ac:dyDescent="0.4">
      <c r="A2" s="188"/>
      <c r="C2" s="207"/>
    </row>
    <row r="3" spans="1:18" ht="18.75" x14ac:dyDescent="0.4">
      <c r="A3" s="188" t="s">
        <v>211</v>
      </c>
      <c r="B3" s="421"/>
      <c r="C3" s="207" t="s">
        <v>212</v>
      </c>
    </row>
    <row r="4" spans="1:18" ht="9" customHeight="1" x14ac:dyDescent="0.25">
      <c r="A4" s="188"/>
      <c r="C4" s="192"/>
    </row>
    <row r="5" spans="1:18" ht="13.5" customHeight="1" x14ac:dyDescent="0.25">
      <c r="A5" s="188" t="s">
        <v>213</v>
      </c>
      <c r="B5" s="546" t="str">
        <f>IF('PA 9'!$F$6="","",'PA 9'!$F$6)</f>
        <v/>
      </c>
      <c r="C5" s="546"/>
      <c r="D5" s="546"/>
      <c r="E5" s="546"/>
      <c r="F5" s="546"/>
      <c r="H5" s="547" cm="1">
        <f t="array" ref="H5">'PA 9'!F7:F7</f>
        <v>0</v>
      </c>
      <c r="I5" s="547"/>
      <c r="J5" s="547"/>
      <c r="K5" s="547"/>
      <c r="M5" s="193" t="s">
        <v>214</v>
      </c>
      <c r="N5" s="421"/>
      <c r="O5" s="549" t="s">
        <v>215</v>
      </c>
      <c r="P5" s="549"/>
      <c r="Q5" s="549"/>
      <c r="R5" s="549"/>
    </row>
    <row r="6" spans="1:18" x14ac:dyDescent="0.25">
      <c r="A6" s="188"/>
      <c r="B6" s="187" t="s">
        <v>216</v>
      </c>
      <c r="C6" s="198"/>
      <c r="D6" s="187"/>
      <c r="E6" s="198"/>
      <c r="F6" s="187"/>
      <c r="G6" s="187"/>
      <c r="H6" s="187" t="s">
        <v>217</v>
      </c>
      <c r="M6" s="193"/>
      <c r="O6" s="549"/>
      <c r="P6" s="549"/>
      <c r="Q6" s="549"/>
      <c r="R6" s="549"/>
    </row>
    <row r="7" spans="1:18" ht="13.5" customHeight="1" x14ac:dyDescent="0.25">
      <c r="A7" s="188" t="s">
        <v>218</v>
      </c>
      <c r="B7" s="548">
        <f>'PA 9'!A21</f>
        <v>45657</v>
      </c>
      <c r="C7" s="548"/>
      <c r="E7" s="188" t="s">
        <v>219</v>
      </c>
      <c r="F7" s="422">
        <f>IF('PA 9'!$Q$37=0,0,IF('PA 9'!$C$14&lt;'PA 9'!$C$21,'PA 9'!$C$21,'PA 9'!$C$14))</f>
        <v>0</v>
      </c>
      <c r="G7" s="422"/>
      <c r="H7" s="1"/>
      <c r="I7" s="547">
        <f>IF('PA 9'!$Q$37=0,0,IF('PA 9'!$C$15&gt;0,'PA 9'!$C$15,B7))</f>
        <v>0</v>
      </c>
      <c r="J7" s="547"/>
      <c r="M7" s="193" t="s">
        <v>220</v>
      </c>
      <c r="N7" s="421"/>
      <c r="O7" s="549" t="s">
        <v>221</v>
      </c>
      <c r="P7" s="549"/>
      <c r="Q7" s="549"/>
      <c r="R7" s="549"/>
    </row>
    <row r="8" spans="1:18" x14ac:dyDescent="0.25">
      <c r="A8" s="188"/>
      <c r="B8" s="187" t="s">
        <v>222</v>
      </c>
      <c r="C8" s="187"/>
      <c r="D8" s="187"/>
      <c r="E8" s="187"/>
      <c r="F8" s="187" t="s">
        <v>223</v>
      </c>
      <c r="G8" s="187"/>
      <c r="H8" s="187"/>
      <c r="I8" s="187" t="s">
        <v>224</v>
      </c>
      <c r="M8" s="193"/>
      <c r="O8" s="549"/>
      <c r="P8" s="549"/>
      <c r="Q8" s="549"/>
      <c r="R8" s="549"/>
    </row>
    <row r="9" spans="1:18" x14ac:dyDescent="0.25">
      <c r="A9" s="188" t="s">
        <v>225</v>
      </c>
    </row>
    <row r="10" spans="1:18" x14ac:dyDescent="0.25">
      <c r="A10" s="188"/>
    </row>
    <row r="11" spans="1:18" x14ac:dyDescent="0.25">
      <c r="A11" s="188"/>
      <c r="L11" s="1" t="str">
        <f>CONCATENATE('PA 9'!C6:C6," ",'PA 9'!C7:C7)</f>
        <v xml:space="preserve"> </v>
      </c>
    </row>
    <row r="12" spans="1:18" x14ac:dyDescent="0.25">
      <c r="A12" s="188"/>
      <c r="L12" s="1">
        <f>'PA 9'!C8:C8</f>
        <v>0</v>
      </c>
    </row>
    <row r="13" spans="1:18" x14ac:dyDescent="0.25">
      <c r="A13" s="188"/>
      <c r="L13" s="1">
        <f>'PA 9'!C9:C9</f>
        <v>0</v>
      </c>
    </row>
    <row r="14" spans="1:18" x14ac:dyDescent="0.25">
      <c r="A14" s="188"/>
    </row>
    <row r="15" spans="1:18" x14ac:dyDescent="0.25">
      <c r="A15" s="188"/>
    </row>
    <row r="16" spans="1:18" x14ac:dyDescent="0.25">
      <c r="A16" s="188"/>
    </row>
    <row r="17" spans="1:18" x14ac:dyDescent="0.25">
      <c r="A17" s="188"/>
    </row>
    <row r="18" spans="1:18" ht="13.5" customHeight="1" x14ac:dyDescent="0.25">
      <c r="A18" s="188"/>
      <c r="R18" s="550" t="s">
        <v>226</v>
      </c>
    </row>
    <row r="19" spans="1:18" x14ac:dyDescent="0.25">
      <c r="A19" s="188">
        <v>1</v>
      </c>
      <c r="B19" s="182" t="s">
        <v>227</v>
      </c>
      <c r="C19" s="182"/>
      <c r="D19" s="182" t="s">
        <v>228</v>
      </c>
      <c r="E19" s="182"/>
      <c r="F19" s="182"/>
      <c r="G19" s="182"/>
      <c r="H19" s="182"/>
      <c r="I19" s="182"/>
      <c r="J19" s="186" t="s">
        <v>229</v>
      </c>
      <c r="K19" s="186"/>
      <c r="L19" s="182"/>
      <c r="M19" s="182"/>
      <c r="N19" s="182"/>
      <c r="Q19" s="206"/>
      <c r="R19" s="550"/>
    </row>
    <row r="20" spans="1:18" x14ac:dyDescent="0.25">
      <c r="A20" s="188"/>
      <c r="B20" s="182" t="s">
        <v>230</v>
      </c>
      <c r="C20" s="182"/>
      <c r="D20" s="182" t="s">
        <v>231</v>
      </c>
      <c r="E20" s="182"/>
      <c r="F20" s="182"/>
      <c r="G20" s="182"/>
      <c r="H20" s="182"/>
      <c r="I20" s="182"/>
      <c r="J20" s="186" t="s">
        <v>229</v>
      </c>
      <c r="K20" s="186"/>
      <c r="L20" s="182"/>
      <c r="M20" s="182"/>
      <c r="N20" s="182"/>
      <c r="Q20" s="206"/>
      <c r="R20" s="550"/>
    </row>
    <row r="21" spans="1:18" x14ac:dyDescent="0.25">
      <c r="A21" s="188"/>
      <c r="B21" s="194" t="s">
        <v>232</v>
      </c>
      <c r="C21" s="194"/>
      <c r="D21" s="194" t="s">
        <v>233</v>
      </c>
      <c r="E21" s="194"/>
      <c r="F21" s="194"/>
      <c r="G21" s="194"/>
      <c r="H21" s="194"/>
      <c r="I21" s="194"/>
      <c r="J21" s="195" t="s">
        <v>234</v>
      </c>
      <c r="K21" s="195"/>
      <c r="L21" s="194"/>
      <c r="M21" s="194"/>
      <c r="N21" s="194"/>
      <c r="O21" s="196"/>
      <c r="P21" s="196"/>
      <c r="R21" s="423">
        <f>'PA 9'!Q37-'PA 9'!Q31</f>
        <v>0</v>
      </c>
    </row>
    <row r="22" spans="1:18" ht="3" customHeight="1" x14ac:dyDescent="0.25">
      <c r="A22" s="188"/>
      <c r="B22" s="182"/>
      <c r="C22" s="182"/>
      <c r="D22" s="182"/>
      <c r="E22" s="182"/>
      <c r="F22" s="199"/>
      <c r="G22" s="199"/>
      <c r="H22" s="199"/>
      <c r="I22" s="199"/>
      <c r="J22" s="200"/>
      <c r="K22" s="200"/>
      <c r="L22" s="199"/>
      <c r="M22" s="199"/>
      <c r="N22" s="199"/>
      <c r="O22" s="201"/>
      <c r="P22" s="201"/>
      <c r="R22" s="208"/>
    </row>
    <row r="23" spans="1:18" x14ac:dyDescent="0.25">
      <c r="A23" s="188">
        <v>2</v>
      </c>
      <c r="B23" s="182" t="s">
        <v>235</v>
      </c>
      <c r="C23" s="182"/>
      <c r="D23" s="182"/>
      <c r="E23" s="182"/>
      <c r="F23" s="194" t="s">
        <v>296</v>
      </c>
      <c r="G23" s="194"/>
      <c r="H23" s="194"/>
      <c r="I23" s="196"/>
      <c r="J23" s="194"/>
      <c r="K23" s="194"/>
      <c r="L23" s="194"/>
      <c r="M23" s="194"/>
      <c r="N23" s="194"/>
      <c r="O23" s="196"/>
      <c r="P23" s="196"/>
      <c r="Q23" s="185" t="s">
        <v>237</v>
      </c>
      <c r="R23" s="424">
        <f>'PA 9'!Q31</f>
        <v>0</v>
      </c>
    </row>
    <row r="24" spans="1:18" ht="3" customHeight="1" x14ac:dyDescent="0.25">
      <c r="A24" s="188"/>
      <c r="B24" s="182"/>
      <c r="C24" s="182"/>
      <c r="D24" s="182"/>
      <c r="E24" s="182"/>
      <c r="F24" s="199"/>
      <c r="G24" s="199"/>
      <c r="H24" s="199"/>
      <c r="I24" s="201"/>
      <c r="J24" s="199"/>
      <c r="K24" s="199"/>
      <c r="L24" s="199"/>
      <c r="M24" s="199"/>
      <c r="N24" s="199"/>
      <c r="O24" s="201"/>
      <c r="P24" s="201"/>
      <c r="Q24" s="185"/>
      <c r="R24" s="208"/>
    </row>
    <row r="25" spans="1:18" x14ac:dyDescent="0.25">
      <c r="A25" s="188"/>
      <c r="B25" s="182" t="s">
        <v>238</v>
      </c>
      <c r="C25" s="182"/>
      <c r="D25" s="182"/>
      <c r="E25" s="182"/>
      <c r="F25" s="194" t="s">
        <v>297</v>
      </c>
      <c r="G25" s="194"/>
      <c r="H25" s="194"/>
      <c r="I25" s="194"/>
      <c r="J25" s="194"/>
      <c r="K25" s="194"/>
      <c r="L25" s="194"/>
      <c r="M25" s="194"/>
      <c r="N25" s="194"/>
      <c r="O25" s="196"/>
      <c r="P25" s="196"/>
      <c r="Q25" s="185" t="s">
        <v>237</v>
      </c>
      <c r="R25" s="424"/>
    </row>
    <row r="26" spans="1:18" ht="3" customHeight="1" x14ac:dyDescent="0.25">
      <c r="A26" s="1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Q26" s="185"/>
      <c r="R26" s="209"/>
    </row>
    <row r="27" spans="1:18" x14ac:dyDescent="0.25">
      <c r="A27" s="188"/>
      <c r="B27" s="182" t="s">
        <v>240</v>
      </c>
      <c r="C27" s="182"/>
      <c r="D27" s="182"/>
      <c r="E27" s="182"/>
      <c r="F27" s="182" t="s">
        <v>298</v>
      </c>
      <c r="G27" s="182"/>
      <c r="H27" s="182"/>
      <c r="I27" s="182"/>
      <c r="J27" s="542"/>
      <c r="K27" s="542"/>
      <c r="L27" s="542"/>
      <c r="M27" s="542"/>
      <c r="N27" s="542"/>
      <c r="O27" s="542"/>
      <c r="P27" s="542"/>
      <c r="Q27" s="185" t="s">
        <v>237</v>
      </c>
      <c r="R27" s="424"/>
    </row>
    <row r="28" spans="1:18" ht="9.75" customHeight="1" x14ac:dyDescent="0.25">
      <c r="A28" s="188"/>
      <c r="B28" s="182"/>
      <c r="C28" s="182"/>
      <c r="D28" s="182"/>
      <c r="E28" s="182"/>
      <c r="F28" s="184" t="s">
        <v>242</v>
      </c>
      <c r="G28" s="184"/>
      <c r="H28" s="184"/>
      <c r="I28" s="182"/>
      <c r="J28" s="182"/>
      <c r="K28" s="182"/>
      <c r="L28" s="182"/>
      <c r="M28" s="182"/>
      <c r="N28" s="182"/>
      <c r="R28" s="210"/>
    </row>
    <row r="29" spans="1:18" x14ac:dyDescent="0.25">
      <c r="A29" s="188">
        <v>3</v>
      </c>
      <c r="B29" s="182" t="s">
        <v>243</v>
      </c>
      <c r="C29" s="182"/>
      <c r="D29" s="182"/>
      <c r="E29" s="182"/>
      <c r="F29" s="182"/>
      <c r="G29" s="182"/>
      <c r="H29" s="182"/>
      <c r="I29" s="182"/>
      <c r="J29" s="182"/>
      <c r="K29" s="184" t="s">
        <v>242</v>
      </c>
      <c r="M29" s="182"/>
      <c r="N29" s="182"/>
      <c r="Q29" s="185" t="s">
        <v>237</v>
      </c>
      <c r="R29" s="210"/>
    </row>
    <row r="30" spans="1:18" x14ac:dyDescent="0.25">
      <c r="A30" s="188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R30" s="424"/>
    </row>
    <row r="31" spans="1:18" ht="3" customHeight="1" x14ac:dyDescent="0.25">
      <c r="A31" s="18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R31" s="208"/>
    </row>
    <row r="32" spans="1:18" x14ac:dyDescent="0.25">
      <c r="A32" s="188">
        <v>4</v>
      </c>
      <c r="B32" s="182" t="s">
        <v>244</v>
      </c>
      <c r="C32" s="182"/>
      <c r="D32" s="182"/>
      <c r="E32" s="182"/>
      <c r="F32" s="182"/>
      <c r="G32" s="182"/>
      <c r="H32" s="182"/>
      <c r="I32" s="542"/>
      <c r="J32" s="542"/>
      <c r="K32" s="542"/>
      <c r="L32" s="542"/>
      <c r="M32" s="542"/>
      <c r="N32" s="542"/>
      <c r="O32" s="542"/>
      <c r="P32" s="542"/>
      <c r="Q32" s="185" t="s">
        <v>237</v>
      </c>
      <c r="R32" s="424"/>
    </row>
    <row r="33" spans="1:18" ht="9" customHeight="1" x14ac:dyDescent="0.25">
      <c r="A33" s="188"/>
      <c r="B33" s="184" t="s">
        <v>242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R33" s="210"/>
    </row>
    <row r="34" spans="1:18" x14ac:dyDescent="0.25">
      <c r="A34" s="188">
        <v>5</v>
      </c>
      <c r="B34" s="194" t="s">
        <v>245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6"/>
      <c r="P34" s="196"/>
      <c r="Q34" s="185" t="s">
        <v>237</v>
      </c>
      <c r="R34" s="424"/>
    </row>
    <row r="35" spans="1:18" ht="3" customHeight="1" x14ac:dyDescent="0.25">
      <c r="A35" s="18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Q35" s="185"/>
      <c r="R35" s="209"/>
    </row>
    <row r="36" spans="1:18" x14ac:dyDescent="0.25">
      <c r="A36" s="188">
        <v>6</v>
      </c>
      <c r="B36" s="194" t="s">
        <v>246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6"/>
      <c r="P36" s="196"/>
      <c r="Q36" s="185" t="s">
        <v>237</v>
      </c>
      <c r="R36" s="424"/>
    </row>
    <row r="37" spans="1:18" ht="3" customHeight="1" x14ac:dyDescent="0.25">
      <c r="A37" s="18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Q37" s="185"/>
      <c r="R37" s="209"/>
    </row>
    <row r="38" spans="1:18" x14ac:dyDescent="0.25">
      <c r="A38" s="188">
        <v>7</v>
      </c>
      <c r="B38" s="182" t="s">
        <v>247</v>
      </c>
      <c r="C38" s="182"/>
      <c r="D38" s="182"/>
      <c r="E38" s="182"/>
      <c r="F38" s="182"/>
      <c r="G38" s="182"/>
      <c r="H38" s="182"/>
      <c r="I38" s="542"/>
      <c r="J38" s="542"/>
      <c r="K38" s="542"/>
      <c r="L38" s="542"/>
      <c r="M38" s="542"/>
      <c r="N38" s="542"/>
      <c r="O38" s="542"/>
      <c r="P38" s="542"/>
      <c r="Q38" s="185" t="s">
        <v>237</v>
      </c>
      <c r="R38" s="424"/>
    </row>
    <row r="39" spans="1:18" ht="9" customHeight="1" x14ac:dyDescent="0.25">
      <c r="A39" s="188"/>
      <c r="B39" s="184" t="s">
        <v>242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R39" s="210"/>
    </row>
    <row r="40" spans="1:18" x14ac:dyDescent="0.25">
      <c r="A40" s="188">
        <v>8</v>
      </c>
      <c r="B40" s="194" t="s">
        <v>248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6"/>
      <c r="P40" s="196"/>
      <c r="Q40" s="185" t="s">
        <v>249</v>
      </c>
      <c r="R40" s="424">
        <f>SUM(R21:R39)</f>
        <v>0</v>
      </c>
    </row>
    <row r="41" spans="1:18" ht="3" customHeight="1" x14ac:dyDescent="0.25">
      <c r="A41" s="18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Q41" s="185"/>
      <c r="R41" s="209"/>
    </row>
    <row r="42" spans="1:18" x14ac:dyDescent="0.25">
      <c r="A42" s="188">
        <v>9</v>
      </c>
      <c r="B42" s="194" t="s">
        <v>250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6"/>
      <c r="P42" s="196"/>
      <c r="Q42" s="185" t="s">
        <v>36</v>
      </c>
      <c r="R42" s="424">
        <f>('PA 9'!Q40+'PA 9'!Q41+'PA 9'!Q42)*-1</f>
        <v>0</v>
      </c>
    </row>
    <row r="43" spans="1:18" ht="3" customHeight="1" x14ac:dyDescent="0.25">
      <c r="A43" s="188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Q43" s="185"/>
      <c r="R43" s="209"/>
    </row>
    <row r="44" spans="1:18" x14ac:dyDescent="0.25">
      <c r="A44" s="188">
        <v>10</v>
      </c>
      <c r="B44" s="182" t="s">
        <v>251</v>
      </c>
      <c r="C44" s="182"/>
      <c r="D44" s="182"/>
      <c r="E44" s="182" t="s">
        <v>252</v>
      </c>
      <c r="F44" s="182"/>
      <c r="G44" s="182"/>
      <c r="H44" s="194" t="s">
        <v>299</v>
      </c>
      <c r="I44" s="196"/>
      <c r="J44" s="194"/>
      <c r="K44" s="194"/>
      <c r="L44" s="194"/>
      <c r="M44" s="194"/>
      <c r="N44" s="194"/>
      <c r="O44" s="196"/>
      <c r="P44" s="196"/>
      <c r="Q44" s="185" t="s">
        <v>36</v>
      </c>
      <c r="R44" s="424">
        <f>'PA 9'!Q44*-1</f>
        <v>0</v>
      </c>
    </row>
    <row r="45" spans="1:18" x14ac:dyDescent="0.25">
      <c r="A45" s="188"/>
      <c r="B45" s="182" t="s">
        <v>254</v>
      </c>
      <c r="C45" s="182"/>
      <c r="D45" s="182"/>
      <c r="E45" s="182" t="s">
        <v>300</v>
      </c>
      <c r="F45" s="182"/>
      <c r="G45" s="182"/>
      <c r="H45" s="182"/>
      <c r="J45" s="182"/>
      <c r="K45" s="182"/>
      <c r="L45" s="182"/>
      <c r="M45" s="182"/>
      <c r="N45" s="182"/>
      <c r="R45" s="210"/>
    </row>
    <row r="46" spans="1:18" x14ac:dyDescent="0.25">
      <c r="A46" s="188"/>
      <c r="B46" s="182" t="s">
        <v>256</v>
      </c>
      <c r="C46" s="182"/>
      <c r="E46" s="182" t="s">
        <v>301</v>
      </c>
      <c r="H46" s="194" t="s">
        <v>302</v>
      </c>
      <c r="I46" s="196"/>
      <c r="J46" s="196"/>
      <c r="K46" s="196"/>
      <c r="L46" s="196"/>
      <c r="M46" s="196"/>
      <c r="N46" s="196"/>
      <c r="O46" s="196"/>
      <c r="P46" s="196"/>
      <c r="Q46" s="185" t="s">
        <v>36</v>
      </c>
      <c r="R46" s="424"/>
    </row>
    <row r="47" spans="1:18" ht="3" customHeight="1" x14ac:dyDescent="0.25">
      <c r="A47" s="188"/>
      <c r="B47" s="182"/>
      <c r="C47" s="182"/>
      <c r="E47" s="182"/>
      <c r="H47" s="182"/>
      <c r="Q47" s="185"/>
      <c r="R47" s="209"/>
    </row>
    <row r="48" spans="1:18" x14ac:dyDescent="0.25">
      <c r="A48" s="188">
        <v>11</v>
      </c>
      <c r="B48" s="197" t="s">
        <v>259</v>
      </c>
      <c r="C48" s="194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85" t="s">
        <v>249</v>
      </c>
      <c r="R48" s="424">
        <f>R40-SUM(R42:R46)</f>
        <v>0</v>
      </c>
    </row>
    <row r="49" spans="1:18" ht="9" customHeight="1" x14ac:dyDescent="0.25">
      <c r="A49" s="188"/>
      <c r="B49" s="189" t="s">
        <v>260</v>
      </c>
      <c r="C49" s="182"/>
      <c r="R49" s="210"/>
    </row>
    <row r="50" spans="1:18" x14ac:dyDescent="0.25">
      <c r="A50" s="188">
        <v>12</v>
      </c>
      <c r="B50" s="194" t="s">
        <v>261</v>
      </c>
      <c r="C50" s="194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R50" s="425">
        <f>'PA 9'!Q46*-1</f>
        <v>0</v>
      </c>
    </row>
    <row r="51" spans="1:18" x14ac:dyDescent="0.25">
      <c r="A51" s="188">
        <v>13</v>
      </c>
      <c r="B51" s="182" t="s">
        <v>262</v>
      </c>
      <c r="C51" s="182"/>
      <c r="R51" s="211"/>
    </row>
    <row r="52" spans="1:18" ht="9" customHeight="1" x14ac:dyDescent="0.25">
      <c r="B52" s="184" t="s">
        <v>263</v>
      </c>
      <c r="R52" s="211"/>
    </row>
    <row r="53" spans="1:18" ht="13.5" customHeight="1" x14ac:dyDescent="0.25">
      <c r="A53" s="551">
        <v>13.1</v>
      </c>
      <c r="B53" s="551"/>
      <c r="C53" s="553" t="s">
        <v>264</v>
      </c>
      <c r="D53" s="190" t="s">
        <v>265</v>
      </c>
      <c r="E53" s="194" t="s">
        <v>266</v>
      </c>
      <c r="F53" s="194"/>
      <c r="G53" s="194"/>
      <c r="H53" s="194"/>
      <c r="I53" s="196"/>
      <c r="J53" s="196"/>
      <c r="K53" s="196"/>
      <c r="L53" s="196"/>
      <c r="M53" s="196"/>
      <c r="N53" s="196"/>
      <c r="O53" s="196"/>
      <c r="P53" s="420" t="s">
        <v>209</v>
      </c>
      <c r="R53" s="426"/>
    </row>
    <row r="54" spans="1:18" ht="3" customHeight="1" x14ac:dyDescent="0.25">
      <c r="A54" s="203"/>
      <c r="B54" s="203"/>
      <c r="C54" s="553"/>
      <c r="D54" s="190"/>
      <c r="E54" s="182"/>
      <c r="F54" s="182"/>
      <c r="G54" s="182"/>
      <c r="H54" s="182"/>
      <c r="R54" s="212"/>
    </row>
    <row r="55" spans="1:18" x14ac:dyDescent="0.25">
      <c r="A55" s="188"/>
      <c r="B55" s="188"/>
      <c r="C55" s="553"/>
      <c r="D55" s="191" t="s">
        <v>267</v>
      </c>
      <c r="E55" s="182" t="s">
        <v>268</v>
      </c>
      <c r="F55" s="182"/>
      <c r="G55" s="182"/>
      <c r="H55" s="182"/>
      <c r="I55" s="543"/>
      <c r="J55" s="543"/>
      <c r="K55" s="543"/>
      <c r="L55" s="543"/>
      <c r="M55" s="543"/>
      <c r="N55" s="543"/>
      <c r="O55" s="543"/>
      <c r="P55" s="543"/>
      <c r="R55" s="426"/>
    </row>
    <row r="56" spans="1:18" ht="9" customHeight="1" x14ac:dyDescent="0.25">
      <c r="A56" s="188"/>
      <c r="B56" s="188"/>
      <c r="C56" s="553"/>
      <c r="D56" s="192"/>
      <c r="E56" s="187" t="s">
        <v>242</v>
      </c>
      <c r="R56" s="211"/>
    </row>
    <row r="57" spans="1:18" x14ac:dyDescent="0.25">
      <c r="A57" s="552">
        <v>13.2</v>
      </c>
      <c r="B57" s="552"/>
      <c r="C57" s="182" t="s">
        <v>269</v>
      </c>
      <c r="D57" s="191" t="s">
        <v>270</v>
      </c>
      <c r="E57" s="194" t="s">
        <v>271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R57" s="426"/>
    </row>
    <row r="58" spans="1:18" ht="3" customHeight="1" x14ac:dyDescent="0.25">
      <c r="A58" s="204"/>
      <c r="B58" s="204"/>
      <c r="C58" s="182"/>
      <c r="D58" s="191"/>
      <c r="E58" s="182"/>
      <c r="R58" s="213"/>
    </row>
    <row r="59" spans="1:18" x14ac:dyDescent="0.25">
      <c r="A59" s="188"/>
      <c r="B59" s="188"/>
      <c r="C59" s="182" t="s">
        <v>272</v>
      </c>
      <c r="D59" s="191" t="s">
        <v>273</v>
      </c>
      <c r="E59" s="194" t="s">
        <v>274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R59" s="426"/>
    </row>
    <row r="60" spans="1:18" ht="3" customHeight="1" x14ac:dyDescent="0.25">
      <c r="A60" s="188"/>
      <c r="B60" s="188"/>
      <c r="C60" s="182"/>
      <c r="D60" s="191"/>
      <c r="E60" s="182"/>
      <c r="I60" s="201"/>
      <c r="J60" s="201"/>
      <c r="K60" s="201"/>
      <c r="L60" s="201"/>
      <c r="M60" s="201"/>
      <c r="N60" s="201"/>
      <c r="O60" s="201"/>
      <c r="P60" s="201"/>
      <c r="R60" s="213"/>
    </row>
    <row r="61" spans="1:18" x14ac:dyDescent="0.25">
      <c r="A61" s="188"/>
      <c r="B61" s="188"/>
      <c r="C61" s="182" t="s">
        <v>275</v>
      </c>
      <c r="D61" s="191" t="s">
        <v>276</v>
      </c>
      <c r="E61" s="182" t="s">
        <v>268</v>
      </c>
      <c r="I61" s="543"/>
      <c r="J61" s="543"/>
      <c r="K61" s="543"/>
      <c r="L61" s="543"/>
      <c r="M61" s="543"/>
      <c r="N61" s="543"/>
      <c r="O61" s="543"/>
      <c r="P61" s="543"/>
      <c r="R61" s="426"/>
    </row>
    <row r="62" spans="1:18" ht="9" customHeight="1" x14ac:dyDescent="0.25">
      <c r="B62" s="182"/>
      <c r="C62" s="182"/>
      <c r="E62" s="187" t="s">
        <v>242</v>
      </c>
      <c r="R62" s="211"/>
    </row>
    <row r="63" spans="1:18" x14ac:dyDescent="0.25">
      <c r="A63" s="551">
        <v>13.3</v>
      </c>
      <c r="B63" s="551"/>
      <c r="C63" s="194" t="s">
        <v>277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R63" s="426"/>
    </row>
    <row r="64" spans="1:18" ht="3" customHeight="1" x14ac:dyDescent="0.25">
      <c r="A64" s="203"/>
      <c r="B64" s="203"/>
      <c r="C64" s="182"/>
    </row>
    <row r="65" spans="1:18" x14ac:dyDescent="0.25">
      <c r="A65" s="188">
        <v>14</v>
      </c>
      <c r="B65" s="182" t="s">
        <v>278</v>
      </c>
      <c r="C65" s="182"/>
      <c r="F65" s="182" t="s">
        <v>279</v>
      </c>
      <c r="G65" s="182"/>
      <c r="H65" s="182"/>
      <c r="I65" s="543"/>
      <c r="J65" s="543"/>
      <c r="K65" s="543"/>
      <c r="L65" s="543"/>
      <c r="M65" s="543"/>
      <c r="N65" s="543"/>
      <c r="O65" s="543"/>
      <c r="P65" s="543"/>
      <c r="Q65" s="543"/>
      <c r="R65" s="543"/>
    </row>
    <row r="66" spans="1:18" ht="3" customHeight="1" x14ac:dyDescent="0.25">
      <c r="A66" s="188"/>
      <c r="B66" s="182"/>
      <c r="C66" s="182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5">
      <c r="A67" s="188"/>
      <c r="B67" s="182" t="s">
        <v>280</v>
      </c>
      <c r="C67" s="182"/>
      <c r="F67" s="182" t="s">
        <v>281</v>
      </c>
      <c r="G67" s="182"/>
      <c r="H67" s="182"/>
      <c r="I67" s="543"/>
      <c r="J67" s="543"/>
      <c r="K67" s="543"/>
      <c r="L67" s="543"/>
      <c r="M67" s="543"/>
      <c r="N67" s="543"/>
      <c r="O67" s="543"/>
      <c r="P67" s="543"/>
      <c r="Q67" s="543"/>
      <c r="R67" s="543"/>
    </row>
    <row r="68" spans="1:18" ht="3" customHeight="1" x14ac:dyDescent="0.25">
      <c r="A68" s="188"/>
      <c r="B68" s="182"/>
      <c r="C68" s="182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5">
      <c r="A69" s="188"/>
      <c r="B69" s="182" t="s">
        <v>282</v>
      </c>
      <c r="C69" s="182"/>
      <c r="F69" s="182" t="s">
        <v>283</v>
      </c>
      <c r="G69" s="182"/>
      <c r="H69" s="182"/>
      <c r="I69" s="543"/>
      <c r="J69" s="543"/>
      <c r="K69" s="543"/>
      <c r="L69" s="543"/>
      <c r="M69" s="543"/>
      <c r="N69" s="543"/>
      <c r="O69" s="543"/>
      <c r="P69" s="543"/>
      <c r="Q69" s="543"/>
      <c r="R69" s="543"/>
    </row>
    <row r="70" spans="1:18" ht="3" customHeight="1" x14ac:dyDescent="0.25">
      <c r="A70" s="188"/>
      <c r="B70" s="182"/>
      <c r="C70" s="182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5">
      <c r="A71" s="188">
        <v>15</v>
      </c>
      <c r="B71" s="182" t="s">
        <v>284</v>
      </c>
      <c r="C71" s="182"/>
      <c r="D71" s="545" t="str">
        <f>IF('PA 9'!L7&lt;100%,"Taux d'occupation "&amp;('PA 9'!L7+'PA 9'!L12)*100&amp;"%","")</f>
        <v>Taux d'occupation 0%</v>
      </c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</row>
    <row r="72" spans="1:18" ht="3" customHeight="1" x14ac:dyDescent="0.25">
      <c r="A72" s="188"/>
      <c r="B72" s="182"/>
      <c r="C72" s="182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x14ac:dyDescent="0.25">
      <c r="A73" s="188"/>
      <c r="B73" s="182" t="s">
        <v>285</v>
      </c>
      <c r="C73" s="182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</row>
    <row r="74" spans="1:18" ht="3" customHeight="1" x14ac:dyDescent="0.25">
      <c r="A74" s="188"/>
      <c r="B74" s="182"/>
      <c r="C74" s="182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x14ac:dyDescent="0.25">
      <c r="A75" s="188"/>
      <c r="B75" s="182" t="s">
        <v>286</v>
      </c>
      <c r="C75" s="182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</row>
    <row r="76" spans="1:18" x14ac:dyDescent="0.25">
      <c r="A76" s="188"/>
      <c r="B76" s="182"/>
      <c r="C76" s="182"/>
    </row>
    <row r="77" spans="1:18" x14ac:dyDescent="0.25">
      <c r="A77" s="188" t="s">
        <v>287</v>
      </c>
      <c r="B77" s="182" t="s">
        <v>288</v>
      </c>
      <c r="C77" s="182"/>
      <c r="F77" s="182" t="s">
        <v>289</v>
      </c>
      <c r="G77" s="182"/>
      <c r="M77" s="554">
        <f>'Attestation du salaire (ord.)'!A8:A8</f>
        <v>0</v>
      </c>
      <c r="N77" s="554"/>
      <c r="O77" s="554"/>
      <c r="P77" s="554"/>
      <c r="Q77" s="554"/>
      <c r="R77" s="554"/>
    </row>
    <row r="78" spans="1:18" ht="9" customHeight="1" x14ac:dyDescent="0.25">
      <c r="B78" s="182"/>
      <c r="C78" s="182"/>
      <c r="F78" s="184" t="s">
        <v>290</v>
      </c>
      <c r="G78" s="184"/>
      <c r="M78" s="214"/>
      <c r="N78" s="214"/>
      <c r="O78" s="214"/>
      <c r="P78" s="214"/>
      <c r="Q78" s="214"/>
      <c r="R78" s="214"/>
    </row>
    <row r="79" spans="1:18" ht="13.5" customHeight="1" x14ac:dyDescent="0.25">
      <c r="B79" s="182"/>
      <c r="C79" s="182"/>
      <c r="F79" s="182" t="s">
        <v>291</v>
      </c>
      <c r="G79" s="182"/>
      <c r="M79" s="554">
        <f>'Attestation du salaire (ord.)'!A9:A9</f>
        <v>0</v>
      </c>
      <c r="N79" s="554"/>
      <c r="O79" s="554"/>
      <c r="P79" s="554"/>
      <c r="Q79" s="554"/>
      <c r="R79" s="554"/>
    </row>
    <row r="80" spans="1:18" ht="9" customHeight="1" x14ac:dyDescent="0.25">
      <c r="B80" s="182"/>
      <c r="C80" s="182"/>
      <c r="F80" s="184" t="s">
        <v>292</v>
      </c>
      <c r="G80" s="184"/>
      <c r="M80" s="214"/>
      <c r="N80" s="214"/>
      <c r="O80" s="214"/>
      <c r="P80" s="214"/>
      <c r="Q80" s="214"/>
      <c r="R80" s="214"/>
    </row>
    <row r="81" spans="2:18" ht="13.5" customHeight="1" x14ac:dyDescent="0.25">
      <c r="B81" s="182"/>
      <c r="C81" s="182"/>
      <c r="F81" s="182" t="s">
        <v>293</v>
      </c>
      <c r="G81" s="182"/>
      <c r="M81" s="554">
        <f>'Attestation du salaire (ord.)'!A10:A10</f>
        <v>0</v>
      </c>
      <c r="N81" s="554"/>
      <c r="O81" s="554"/>
      <c r="P81" s="554"/>
      <c r="Q81" s="554"/>
      <c r="R81" s="554"/>
    </row>
    <row r="82" spans="2:18" ht="9" customHeight="1" x14ac:dyDescent="0.25">
      <c r="B82" s="182"/>
      <c r="C82" s="182"/>
      <c r="F82" s="184" t="s">
        <v>294</v>
      </c>
      <c r="G82" s="184"/>
      <c r="M82" s="215"/>
      <c r="N82" s="215"/>
      <c r="O82" s="215"/>
      <c r="P82" s="215"/>
      <c r="Q82" s="215"/>
      <c r="R82" s="215"/>
    </row>
    <row r="83" spans="2:18" x14ac:dyDescent="0.25">
      <c r="B83" s="182"/>
      <c r="C83" s="182"/>
      <c r="I83" s="182"/>
      <c r="M83" s="554" t="str">
        <f>'CS 1'!M83:R83</f>
        <v>Entrez le numéro de téléphone ici</v>
      </c>
      <c r="N83" s="554"/>
      <c r="O83" s="554"/>
      <c r="P83" s="554"/>
      <c r="Q83" s="554"/>
      <c r="R83" s="554"/>
    </row>
    <row r="84" spans="2:18" x14ac:dyDescent="0.25">
      <c r="B84" s="182"/>
      <c r="C84" s="182"/>
    </row>
  </sheetData>
  <sheetProtection algorithmName="SHA-512" hashValue="55ZOedWmVeEzeRLf00nQxAxAqfBNlD1bj+uIKIG93MaSsvMwJ1iuqre6DvFCcsM/VKylGysp4BD9X9KDNYw52A==" saltValue="cfq6hoCtkDAn5Bv7vzxuAw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E28E16D51AE445BDFA9AAF9F319DB6" ma:contentTypeVersion="15" ma:contentTypeDescription="Ein neues Dokument erstellen." ma:contentTypeScope="" ma:versionID="64653cec6aaf404afa7b65892e5bed2b">
  <xsd:schema xmlns:xsd="http://www.w3.org/2001/XMLSchema" xmlns:xs="http://www.w3.org/2001/XMLSchema" xmlns:p="http://schemas.microsoft.com/office/2006/metadata/properties" xmlns:ns2="4a159a44-5981-43ba-a876-9650506b5788" xmlns:ns3="db42a3b0-9bd5-466b-a98d-a66d7ec49768" targetNamespace="http://schemas.microsoft.com/office/2006/metadata/properties" ma:root="true" ma:fieldsID="1b3da310cb8fb4bda52e2896d6a0cf7c" ns2:_="" ns3:_="">
    <xsd:import namespace="4a159a44-5981-43ba-a876-9650506b5788"/>
    <xsd:import namespace="db42a3b0-9bd5-466b-a98d-a66d7ec4976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59a44-5981-43ba-a876-9650506b5788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format="Dropdown" ma:internalName="Status">
      <xsd:simpleType>
        <xsd:restriction base="dms:Choice">
          <xsd:enumeration value="1 In Bearbeitung"/>
          <xsd:enumeration value="2 Erstellt"/>
          <xsd:enumeration value="3 Zur Kontrolle bei Kanton"/>
          <xsd:enumeration value="4 Von Kanton genehmigt"/>
          <xsd:enumeration value="5 Versand vorbereitet"/>
          <xsd:enumeration value="6 Versandt an LB"/>
          <xsd:enumeration value="9 Fehlerhaft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8e7aa3a-a37e-463a-ab31-b94c8eee42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2a3b0-9bd5-466b-a98d-a66d7ec4976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4c0b000-0df1-4562-94bb-2bf770033ab8}" ma:internalName="TaxCatchAll" ma:showField="CatchAllData" ma:web="db42a3b0-9bd5-466b-a98d-a66d7ec497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59a44-5981-43ba-a876-9650506b5788">
      <Terms xmlns="http://schemas.microsoft.com/office/infopath/2007/PartnerControls"/>
    </lcf76f155ced4ddcb4097134ff3c332f>
    <TaxCatchAll xmlns="db42a3b0-9bd5-466b-a98d-a66d7ec49768" xsi:nil="true"/>
    <Status xmlns="4a159a44-5981-43ba-a876-9650506b57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3E58F3-8068-46A2-AB5F-F30B34D88EC6}"/>
</file>

<file path=customXml/itemProps2.xml><?xml version="1.0" encoding="utf-8"?>
<ds:datastoreItem xmlns:ds="http://schemas.openxmlformats.org/officeDocument/2006/customXml" ds:itemID="{422CB667-6DD8-437A-915D-4CAF581B046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7104e8c-655e-4d94-82fc-6097beb82c4e"/>
    <ds:schemaRef ds:uri="e38c38c6-8d40-440b-9b85-500f548f706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3177B8-67DB-44D7-8A22-0043F5C17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22</vt:i4>
      </vt:variant>
    </vt:vector>
  </HeadingPairs>
  <TitlesOfParts>
    <vt:vector size="43" baseType="lpstr">
      <vt:lpstr>Intro</vt:lpstr>
      <vt:lpstr>PA 1</vt:lpstr>
      <vt:lpstr>PA 2</vt:lpstr>
      <vt:lpstr>PA 3</vt:lpstr>
      <vt:lpstr>PA 4</vt:lpstr>
      <vt:lpstr>PA 5</vt:lpstr>
      <vt:lpstr>PA 6</vt:lpstr>
      <vt:lpstr>PA 7</vt:lpstr>
      <vt:lpstr>PA 8</vt:lpstr>
      <vt:lpstr>PA 9</vt:lpstr>
      <vt:lpstr>Attestation du salaire (simpl.)</vt:lpstr>
      <vt:lpstr>Attestation du salaire (ord.)</vt:lpstr>
      <vt:lpstr>CS 1</vt:lpstr>
      <vt:lpstr>CS 2</vt:lpstr>
      <vt:lpstr>CS 3</vt:lpstr>
      <vt:lpstr>CS 4</vt:lpstr>
      <vt:lpstr>CS 5</vt:lpstr>
      <vt:lpstr>CS 6</vt:lpstr>
      <vt:lpstr>CS 7</vt:lpstr>
      <vt:lpstr>CS 8</vt:lpstr>
      <vt:lpstr>CS 9</vt:lpstr>
      <vt:lpstr>'Attestation du salaire (ord.)'!Druckbereich</vt:lpstr>
      <vt:lpstr>'Attestation du salaire (simpl.)'!Druckbereich</vt:lpstr>
      <vt:lpstr>Intro!Druckbereich</vt:lpstr>
      <vt:lpstr>'PA 1'!Druckbereich</vt:lpstr>
      <vt:lpstr>'PA 2'!Druckbereich</vt:lpstr>
      <vt:lpstr>'PA 3'!Druckbereich</vt:lpstr>
      <vt:lpstr>'PA 4'!Druckbereich</vt:lpstr>
      <vt:lpstr>'PA 5'!Druckbereich</vt:lpstr>
      <vt:lpstr>'PA 6'!Druckbereich</vt:lpstr>
      <vt:lpstr>'PA 7'!Druckbereich</vt:lpstr>
      <vt:lpstr>'PA 8'!Druckbereich</vt:lpstr>
      <vt:lpstr>'PA 9'!Druckbereich</vt:lpstr>
      <vt:lpstr>Fehler</vt:lpstr>
      <vt:lpstr>Fehler1</vt:lpstr>
      <vt:lpstr>Fehler2</vt:lpstr>
      <vt:lpstr>Fehler3</vt:lpstr>
      <vt:lpstr>Fehler4</vt:lpstr>
      <vt:lpstr>Fehler5</vt:lpstr>
      <vt:lpstr>Fehler6</vt:lpstr>
      <vt:lpstr>Fehler7</vt:lpstr>
      <vt:lpstr>Fehler8</vt:lpstr>
      <vt:lpstr>Fehler9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Hirschi</dc:creator>
  <cp:keywords/>
  <dc:description/>
  <cp:lastModifiedBy>Klopfstein Tanja</cp:lastModifiedBy>
  <cp:revision/>
  <cp:lastPrinted>2023-12-26T09:51:14Z</cp:lastPrinted>
  <dcterms:created xsi:type="dcterms:W3CDTF">1999-03-04T07:32:27Z</dcterms:created>
  <dcterms:modified xsi:type="dcterms:W3CDTF">2023-12-26T09:51:24Z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0x0101006EE28E16D51AE445BDFA9AAF9F319DB6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</Properties>
</file>