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DieseArbeitsmappe" defaultThemeVersion="124226"/>
  <mc:AlternateContent xmlns:mc="http://schemas.openxmlformats.org/markup-compatibility/2006">
    <mc:Choice Requires="x15">
      <x15ac:absPath xmlns:x15ac="http://schemas.microsoft.com/office/spreadsheetml/2010/11/ac" url="https://gewastiftung.sharepoint.com/sites/PJ-2793-Berner-Modell/Freigegebene Dokumente/General/2 Ausführung/Hilfsmittel in Bearbeitung/"/>
    </mc:Choice>
  </mc:AlternateContent>
  <xr:revisionPtr revIDLastSave="306" documentId="8_{73389EB2-557F-487B-9414-01CD10819FE7}" xr6:coauthVersionLast="47" xr6:coauthVersionMax="47" xr10:uidLastSave="{79918638-82B2-486B-BC26-AC3F9E88CEFB}"/>
  <bookViews>
    <workbookView xWindow="-28920" yWindow="0" windowWidth="29040" windowHeight="15840" tabRatio="877" xr2:uid="{00000000-000D-0000-FFFF-FFFF00000000}"/>
  </bookViews>
  <sheets>
    <sheet name="Intro" sheetId="61" r:id="rId1"/>
    <sheet name="AP 1" sheetId="35" r:id="rId2"/>
    <sheet name="AP 2" sheetId="57" r:id="rId3"/>
    <sheet name="AP 3" sheetId="58" r:id="rId4"/>
    <sheet name="AP 4" sheetId="59" r:id="rId5"/>
    <sheet name="AP 5" sheetId="60" r:id="rId6"/>
    <sheet name="AP 6" sheetId="55" r:id="rId7"/>
    <sheet name="AP 7" sheetId="56" r:id="rId8"/>
    <sheet name="AP 8" sheetId="53" r:id="rId9"/>
    <sheet name="AP 9" sheetId="54" r:id="rId10"/>
    <sheet name="Lohnbescheinigung (vereinfacht)" sheetId="26" r:id="rId11"/>
    <sheet name="Lohnbescheinigung (ordentlich)" sheetId="34" r:id="rId12"/>
    <sheet name="LA 1" sheetId="44" r:id="rId13"/>
    <sheet name="LA 2" sheetId="45" r:id="rId14"/>
    <sheet name="LA 3" sheetId="46" r:id="rId15"/>
    <sheet name="LA 4" sheetId="47" r:id="rId16"/>
    <sheet name="LA 5" sheetId="48" r:id="rId17"/>
    <sheet name="LA 6" sheetId="49" r:id="rId18"/>
    <sheet name="LA 7" sheetId="50" r:id="rId19"/>
    <sheet name="LA 8" sheetId="51" r:id="rId20"/>
    <sheet name="LA 9" sheetId="52" r:id="rId21"/>
  </sheets>
  <definedNames>
    <definedName name="_xlnm.Print_Area" localSheetId="1">'AP 1'!$A$1:$Q$64</definedName>
    <definedName name="_xlnm.Print_Area" localSheetId="2">'AP 2'!$A$1:$Q$63</definedName>
    <definedName name="_xlnm.Print_Area" localSheetId="3">'AP 3'!$A$1:$Q$63</definedName>
    <definedName name="_xlnm.Print_Area" localSheetId="4">'AP 4'!$A$1:$Q$63</definedName>
    <definedName name="_xlnm.Print_Area" localSheetId="5">'AP 5'!$A$1:$Q$63</definedName>
    <definedName name="_xlnm.Print_Area" localSheetId="6">'AP 6'!$A$1:$Q$63</definedName>
    <definedName name="_xlnm.Print_Area" localSheetId="7">'AP 7'!$A$1:$Q$63</definedName>
    <definedName name="_xlnm.Print_Area" localSheetId="8">'AP 8'!$A$1:$Q$63</definedName>
    <definedName name="_xlnm.Print_Area" localSheetId="9">'AP 9'!$A$1:$Q$63</definedName>
    <definedName name="_xlnm.Print_Area" localSheetId="0">Intro!$A$1:$K$49</definedName>
    <definedName name="_xlnm.Print_Area" localSheetId="11">'Lohnbescheinigung (ordentlich)'!$A$1:$J$60</definedName>
    <definedName name="_xlnm.Print_Area" localSheetId="10">'Lohnbescheinigung (vereinfacht)'!$A$1:$I$55</definedName>
    <definedName name="Fehler">'AP 1'!$S$18</definedName>
    <definedName name="Fehler1">'AP 1'!$S$18</definedName>
    <definedName name="Fehler2">'AP 2'!$S$18</definedName>
    <definedName name="Fehler3">'AP 3'!$S$18</definedName>
    <definedName name="Fehler4">'AP 4'!$S$18</definedName>
    <definedName name="Fehler5">'AP 5'!$S$18</definedName>
    <definedName name="Fehler6">'AP 6'!$S$18</definedName>
    <definedName name="Fehler7">'AP 7'!$S$18</definedName>
    <definedName name="Fehler8">'AP 8'!$S$18</definedName>
    <definedName name="Fehler9">'AP 9'!$S$18</definedName>
    <definedName name="Geschlecht" localSheetId="2">#REF!</definedName>
    <definedName name="Geschlecht" localSheetId="4">#REF!</definedName>
    <definedName name="Geschlecht" localSheetId="5">#REF!</definedName>
    <definedName name="Geschlecht" localSheetId="6">#REF!</definedName>
    <definedName name="Geschlecht" localSheetId="7">#REF!</definedName>
    <definedName name="Geschlecht" localSheetId="8">#REF!</definedName>
    <definedName name="Geschlecht" localSheetId="9">#REF!</definedName>
    <definedName name="Geschlecht" localSheetId="13">#REF!</definedName>
    <definedName name="Geschlecht" localSheetId="15">#REF!</definedName>
    <definedName name="Geschlecht" localSheetId="17">#REF!</definedName>
    <definedName name="Geschlecht" localSheetId="19">#REF!</definedName>
    <definedName name="Geschlecht" localSheetId="20">#REF!</definedName>
    <definedName name="Geschlecht">#REF!</definedName>
    <definedName name="ja" localSheetId="1">#REF!</definedName>
    <definedName name="ja" localSheetId="2">#REF!</definedName>
    <definedName name="ja" localSheetId="3">#REF!</definedName>
    <definedName name="ja" localSheetId="4">#REF!</definedName>
    <definedName name="ja" localSheetId="5">#REF!</definedName>
    <definedName name="ja" localSheetId="6">#REF!</definedName>
    <definedName name="ja" localSheetId="7">#REF!</definedName>
    <definedName name="ja" localSheetId="8">#REF!</definedName>
    <definedName name="ja" localSheetId="9">#REF!</definedName>
    <definedName name="m_w" localSheetId="1">#REF!</definedName>
    <definedName name="m_w" localSheetId="2">#REF!</definedName>
    <definedName name="m_w" localSheetId="3">#REF!</definedName>
    <definedName name="m_w" localSheetId="4">#REF!</definedName>
    <definedName name="m_w" localSheetId="5">#REF!</definedName>
    <definedName name="m_w" localSheetId="6">#REF!</definedName>
    <definedName name="m_w" localSheetId="7">#REF!</definedName>
    <definedName name="m_w" localSheetId="8">#REF!</definedName>
    <definedName name="m_w" localSheetId="9">#REF!</definedName>
    <definedName name="m_w" localSheetId="13">#REF!</definedName>
    <definedName name="m_w" localSheetId="15">#REF!</definedName>
    <definedName name="m_w" localSheetId="17">#REF!</definedName>
    <definedName name="m_w" localSheetId="19">#REF!</definedName>
    <definedName name="m_w" localSheetId="20">#REF!</definedName>
    <definedName name="m_w" localSheetId="11">#REF!</definedName>
    <definedName name="m_w">#REF!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35" l="1"/>
  <c r="P64" i="58"/>
  <c r="O64" i="58"/>
  <c r="N64" i="58"/>
  <c r="M64" i="58"/>
  <c r="L64" i="58"/>
  <c r="K64" i="58"/>
  <c r="H64" i="58"/>
  <c r="G64" i="58"/>
  <c r="F64" i="58"/>
  <c r="E64" i="58"/>
  <c r="D64" i="58"/>
  <c r="C64" i="58"/>
  <c r="P64" i="59"/>
  <c r="O64" i="59"/>
  <c r="N64" i="59"/>
  <c r="M64" i="59"/>
  <c r="L64" i="59"/>
  <c r="K64" i="59"/>
  <c r="H64" i="59"/>
  <c r="G64" i="59"/>
  <c r="F64" i="59"/>
  <c r="E64" i="59"/>
  <c r="D64" i="59"/>
  <c r="C64" i="59"/>
  <c r="P64" i="60"/>
  <c r="O64" i="60"/>
  <c r="N64" i="60"/>
  <c r="M64" i="60"/>
  <c r="L64" i="60"/>
  <c r="K64" i="60"/>
  <c r="H64" i="60"/>
  <c r="G64" i="60"/>
  <c r="F64" i="60"/>
  <c r="E64" i="60"/>
  <c r="D64" i="60"/>
  <c r="C64" i="60"/>
  <c r="P64" i="55"/>
  <c r="O64" i="55"/>
  <c r="N64" i="55"/>
  <c r="M64" i="55"/>
  <c r="L64" i="55"/>
  <c r="K64" i="55"/>
  <c r="H64" i="55"/>
  <c r="G64" i="55"/>
  <c r="F64" i="55"/>
  <c r="E64" i="55"/>
  <c r="D64" i="55"/>
  <c r="C64" i="55"/>
  <c r="P64" i="56"/>
  <c r="O64" i="56"/>
  <c r="N64" i="56"/>
  <c r="M64" i="56"/>
  <c r="L64" i="56"/>
  <c r="K64" i="56"/>
  <c r="H64" i="56"/>
  <c r="G64" i="56"/>
  <c r="F64" i="56"/>
  <c r="E64" i="56"/>
  <c r="D64" i="56"/>
  <c r="C64" i="56"/>
  <c r="P64" i="53"/>
  <c r="O64" i="53"/>
  <c r="N64" i="53"/>
  <c r="M64" i="53"/>
  <c r="L64" i="53"/>
  <c r="K64" i="53"/>
  <c r="H64" i="53"/>
  <c r="G64" i="53"/>
  <c r="F64" i="53"/>
  <c r="E64" i="53"/>
  <c r="D64" i="53"/>
  <c r="C64" i="53"/>
  <c r="P64" i="54"/>
  <c r="O64" i="54"/>
  <c r="N64" i="54"/>
  <c r="M64" i="54"/>
  <c r="L64" i="54"/>
  <c r="K64" i="54"/>
  <c r="H64" i="54"/>
  <c r="G64" i="54"/>
  <c r="F64" i="54"/>
  <c r="E64" i="54"/>
  <c r="D64" i="54"/>
  <c r="C64" i="54"/>
  <c r="P64" i="57"/>
  <c r="O64" i="57"/>
  <c r="N64" i="57"/>
  <c r="M64" i="57"/>
  <c r="L64" i="57"/>
  <c r="K64" i="57"/>
  <c r="H64" i="57"/>
  <c r="G64" i="57"/>
  <c r="F64" i="57"/>
  <c r="E64" i="57"/>
  <c r="D64" i="57"/>
  <c r="C64" i="57"/>
  <c r="P64" i="35"/>
  <c r="O64" i="35"/>
  <c r="N64" i="35"/>
  <c r="M64" i="35"/>
  <c r="L64" i="35"/>
  <c r="K64" i="35"/>
  <c r="H64" i="35"/>
  <c r="G64" i="35"/>
  <c r="F64" i="35"/>
  <c r="E64" i="35"/>
  <c r="D64" i="35"/>
  <c r="C64" i="35"/>
  <c r="C63" i="35"/>
  <c r="P63" i="59"/>
  <c r="O63" i="59"/>
  <c r="N63" i="59"/>
  <c r="M63" i="59"/>
  <c r="L63" i="59"/>
  <c r="K63" i="59"/>
  <c r="H63" i="59"/>
  <c r="G63" i="59"/>
  <c r="F63" i="59"/>
  <c r="E63" i="59"/>
  <c r="D63" i="59"/>
  <c r="C63" i="59"/>
  <c r="P63" i="60"/>
  <c r="O63" i="60"/>
  <c r="N63" i="60"/>
  <c r="M63" i="60"/>
  <c r="L63" i="60"/>
  <c r="K63" i="60"/>
  <c r="H63" i="60"/>
  <c r="G63" i="60"/>
  <c r="F63" i="60"/>
  <c r="E63" i="60"/>
  <c r="D63" i="60"/>
  <c r="C63" i="60"/>
  <c r="P63" i="55"/>
  <c r="O63" i="55"/>
  <c r="N63" i="55"/>
  <c r="M63" i="55"/>
  <c r="L63" i="55"/>
  <c r="K63" i="55"/>
  <c r="H63" i="55"/>
  <c r="G63" i="55"/>
  <c r="F63" i="55"/>
  <c r="E63" i="55"/>
  <c r="D63" i="55"/>
  <c r="C63" i="55"/>
  <c r="P63" i="56"/>
  <c r="O63" i="56"/>
  <c r="N63" i="56"/>
  <c r="M63" i="56"/>
  <c r="L63" i="56"/>
  <c r="K63" i="56"/>
  <c r="H63" i="56"/>
  <c r="G63" i="56"/>
  <c r="F63" i="56"/>
  <c r="E63" i="56"/>
  <c r="D63" i="56"/>
  <c r="C63" i="56"/>
  <c r="P63" i="53"/>
  <c r="O63" i="53"/>
  <c r="N63" i="53"/>
  <c r="M63" i="53"/>
  <c r="L63" i="53"/>
  <c r="K63" i="53"/>
  <c r="H63" i="53"/>
  <c r="G63" i="53"/>
  <c r="F63" i="53"/>
  <c r="E63" i="53"/>
  <c r="D63" i="53"/>
  <c r="C63" i="53"/>
  <c r="P63" i="54"/>
  <c r="O63" i="54"/>
  <c r="N63" i="54"/>
  <c r="M63" i="54"/>
  <c r="L63" i="54"/>
  <c r="K63" i="54"/>
  <c r="H63" i="54"/>
  <c r="G63" i="54"/>
  <c r="F63" i="54"/>
  <c r="E63" i="54"/>
  <c r="D63" i="54"/>
  <c r="C63" i="54"/>
  <c r="P63" i="58"/>
  <c r="O63" i="58"/>
  <c r="N63" i="58"/>
  <c r="M63" i="58"/>
  <c r="L63" i="58"/>
  <c r="K63" i="58"/>
  <c r="H63" i="58"/>
  <c r="G63" i="58"/>
  <c r="F63" i="58"/>
  <c r="E63" i="58"/>
  <c r="D63" i="58"/>
  <c r="C63" i="58"/>
  <c r="P63" i="57"/>
  <c r="O63" i="57"/>
  <c r="N63" i="57"/>
  <c r="M63" i="57"/>
  <c r="L63" i="57"/>
  <c r="K63" i="57"/>
  <c r="H63" i="57"/>
  <c r="G63" i="57"/>
  <c r="F63" i="57"/>
  <c r="E63" i="57"/>
  <c r="D63" i="57"/>
  <c r="C63" i="57"/>
  <c r="K63" i="35"/>
  <c r="P63" i="35"/>
  <c r="O63" i="35"/>
  <c r="N63" i="35"/>
  <c r="M63" i="35"/>
  <c r="L63" i="35"/>
  <c r="H63" i="35"/>
  <c r="G63" i="35"/>
  <c r="F63" i="35"/>
  <c r="E63" i="35"/>
  <c r="D63" i="35"/>
  <c r="C61" i="35"/>
  <c r="P61" i="57"/>
  <c r="O61" i="57"/>
  <c r="N61" i="57"/>
  <c r="M61" i="57"/>
  <c r="L61" i="57"/>
  <c r="K61" i="57"/>
  <c r="H61" i="57"/>
  <c r="G61" i="57"/>
  <c r="F61" i="57"/>
  <c r="E61" i="57"/>
  <c r="D61" i="57"/>
  <c r="P61" i="58"/>
  <c r="O61" i="58"/>
  <c r="N61" i="58"/>
  <c r="M61" i="58"/>
  <c r="L61" i="58"/>
  <c r="K61" i="58"/>
  <c r="H61" i="58"/>
  <c r="G61" i="58"/>
  <c r="F61" i="58"/>
  <c r="E61" i="58"/>
  <c r="D61" i="58"/>
  <c r="P61" i="59"/>
  <c r="O61" i="59"/>
  <c r="N61" i="59"/>
  <c r="M61" i="59"/>
  <c r="L61" i="59"/>
  <c r="K61" i="59"/>
  <c r="H61" i="59"/>
  <c r="G61" i="59"/>
  <c r="F61" i="59"/>
  <c r="E61" i="59"/>
  <c r="D61" i="59"/>
  <c r="P61" i="60"/>
  <c r="O61" i="60"/>
  <c r="N61" i="60"/>
  <c r="M61" i="60"/>
  <c r="L61" i="60"/>
  <c r="K61" i="60"/>
  <c r="H61" i="60"/>
  <c r="G61" i="60"/>
  <c r="F61" i="60"/>
  <c r="E61" i="60"/>
  <c r="D61" i="60"/>
  <c r="P61" i="55"/>
  <c r="O61" i="55"/>
  <c r="N61" i="55"/>
  <c r="M61" i="55"/>
  <c r="L61" i="55"/>
  <c r="K61" i="55"/>
  <c r="H61" i="55"/>
  <c r="G61" i="55"/>
  <c r="F61" i="55"/>
  <c r="E61" i="55"/>
  <c r="D61" i="55"/>
  <c r="P61" i="56"/>
  <c r="O61" i="56"/>
  <c r="N61" i="56"/>
  <c r="M61" i="56"/>
  <c r="L61" i="56"/>
  <c r="K61" i="56"/>
  <c r="H61" i="56"/>
  <c r="G61" i="56"/>
  <c r="F61" i="56"/>
  <c r="E61" i="56"/>
  <c r="D61" i="56"/>
  <c r="P61" i="53"/>
  <c r="O61" i="53"/>
  <c r="N61" i="53"/>
  <c r="M61" i="53"/>
  <c r="L61" i="53"/>
  <c r="K61" i="53"/>
  <c r="H61" i="53"/>
  <c r="G61" i="53"/>
  <c r="F61" i="53"/>
  <c r="E61" i="53"/>
  <c r="D61" i="53"/>
  <c r="P61" i="54"/>
  <c r="O61" i="54"/>
  <c r="N61" i="54"/>
  <c r="M61" i="54"/>
  <c r="L61" i="54"/>
  <c r="K61" i="54"/>
  <c r="H61" i="54"/>
  <c r="G61" i="54"/>
  <c r="F61" i="54"/>
  <c r="E61" i="54"/>
  <c r="D61" i="54"/>
  <c r="P61" i="35"/>
  <c r="O61" i="35"/>
  <c r="N61" i="35"/>
  <c r="M61" i="35"/>
  <c r="L61" i="35"/>
  <c r="K61" i="35"/>
  <c r="H61" i="35"/>
  <c r="G61" i="35"/>
  <c r="F61" i="35"/>
  <c r="E61" i="35"/>
  <c r="D61" i="35"/>
  <c r="C61" i="57"/>
  <c r="C61" i="58"/>
  <c r="C61" i="59"/>
  <c r="C61" i="60"/>
  <c r="C61" i="55"/>
  <c r="C61" i="56"/>
  <c r="C61" i="53"/>
  <c r="C61" i="54"/>
  <c r="L9" i="35"/>
  <c r="S20" i="58"/>
  <c r="S20" i="59"/>
  <c r="S20" i="60"/>
  <c r="S20" i="55"/>
  <c r="S20" i="56"/>
  <c r="S20" i="53"/>
  <c r="Y9" i="53"/>
  <c r="Y9" i="56"/>
  <c r="Y9" i="55"/>
  <c r="Y9" i="60"/>
  <c r="Y9" i="59"/>
  <c r="Y9" i="58"/>
  <c r="A45" i="58"/>
  <c r="A45" i="59"/>
  <c r="A45" i="60"/>
  <c r="A45" i="55"/>
  <c r="A45" i="56"/>
  <c r="A45" i="53"/>
  <c r="Z6" i="58"/>
  <c r="Z6" i="59"/>
  <c r="Z6" i="60"/>
  <c r="Z6" i="55"/>
  <c r="Z6" i="56"/>
  <c r="Z6" i="53"/>
  <c r="Z6" i="54"/>
  <c r="Y9" i="54" s="1"/>
  <c r="A45" i="54" s="1"/>
  <c r="Z6" i="57"/>
  <c r="Y9" i="57" s="1"/>
  <c r="A45" i="57" s="1"/>
  <c r="Z6" i="35"/>
  <c r="Z7" i="35"/>
  <c r="Q63" i="58"/>
  <c r="Q63" i="59"/>
  <c r="Q63" i="60"/>
  <c r="Q63" i="55"/>
  <c r="Q63" i="56"/>
  <c r="Q63" i="53"/>
  <c r="Q63" i="54"/>
  <c r="Q63" i="57" l="1"/>
  <c r="Y9" i="35"/>
  <c r="A45" i="35" s="1"/>
  <c r="J64" i="58" l="1"/>
  <c r="A64" i="58"/>
  <c r="I64" i="58" s="1"/>
  <c r="B63" i="58"/>
  <c r="J63" i="58" s="1"/>
  <c r="A63" i="58"/>
  <c r="I63" i="58" s="1"/>
  <c r="Q62" i="58"/>
  <c r="I62" i="58"/>
  <c r="B62" i="58"/>
  <c r="J62" i="58" s="1"/>
  <c r="A62" i="58"/>
  <c r="Q61" i="58"/>
  <c r="B61" i="58"/>
  <c r="J61" i="58" s="1"/>
  <c r="A61" i="58"/>
  <c r="I61" i="58" s="1"/>
  <c r="J64" i="59"/>
  <c r="A64" i="59"/>
  <c r="I64" i="59" s="1"/>
  <c r="B63" i="59"/>
  <c r="J63" i="59" s="1"/>
  <c r="A63" i="59"/>
  <c r="I63" i="59" s="1"/>
  <c r="Q62" i="59"/>
  <c r="B62" i="59"/>
  <c r="J62" i="59" s="1"/>
  <c r="A62" i="59"/>
  <c r="I62" i="59" s="1"/>
  <c r="Q61" i="59"/>
  <c r="B61" i="59"/>
  <c r="J61" i="59" s="1"/>
  <c r="A61" i="59"/>
  <c r="I61" i="59" s="1"/>
  <c r="J64" i="60"/>
  <c r="A64" i="60"/>
  <c r="I64" i="60" s="1"/>
  <c r="B63" i="60"/>
  <c r="J63" i="60" s="1"/>
  <c r="A63" i="60"/>
  <c r="I63" i="60" s="1"/>
  <c r="Q62" i="60"/>
  <c r="B62" i="60"/>
  <c r="J62" i="60" s="1"/>
  <c r="A62" i="60"/>
  <c r="I62" i="60" s="1"/>
  <c r="Q61" i="60"/>
  <c r="B61" i="60"/>
  <c r="J61" i="60" s="1"/>
  <c r="A61" i="60"/>
  <c r="I61" i="60" s="1"/>
  <c r="J64" i="55"/>
  <c r="I64" i="55"/>
  <c r="A64" i="55"/>
  <c r="B63" i="55"/>
  <c r="J63" i="55" s="1"/>
  <c r="A63" i="55"/>
  <c r="I63" i="55" s="1"/>
  <c r="Q62" i="55"/>
  <c r="B62" i="55"/>
  <c r="J62" i="55" s="1"/>
  <c r="A62" i="55"/>
  <c r="I62" i="55" s="1"/>
  <c r="Q61" i="55"/>
  <c r="B61" i="55"/>
  <c r="J61" i="55" s="1"/>
  <c r="A61" i="55"/>
  <c r="I61" i="55" s="1"/>
  <c r="J64" i="56"/>
  <c r="A64" i="56"/>
  <c r="I64" i="56" s="1"/>
  <c r="B63" i="56"/>
  <c r="J63" i="56" s="1"/>
  <c r="A63" i="56"/>
  <c r="I63" i="56" s="1"/>
  <c r="Q62" i="56"/>
  <c r="I62" i="56"/>
  <c r="B62" i="56"/>
  <c r="J62" i="56" s="1"/>
  <c r="A62" i="56"/>
  <c r="Q61" i="56"/>
  <c r="B61" i="56"/>
  <c r="J61" i="56" s="1"/>
  <c r="A61" i="56"/>
  <c r="I61" i="56" s="1"/>
  <c r="J64" i="53"/>
  <c r="A64" i="53"/>
  <c r="I64" i="53" s="1"/>
  <c r="B63" i="53"/>
  <c r="J63" i="53" s="1"/>
  <c r="A63" i="53"/>
  <c r="I63" i="53" s="1"/>
  <c r="Q62" i="53"/>
  <c r="B62" i="53"/>
  <c r="J62" i="53" s="1"/>
  <c r="A62" i="53"/>
  <c r="I62" i="53" s="1"/>
  <c r="Q61" i="53"/>
  <c r="B61" i="53"/>
  <c r="J61" i="53" s="1"/>
  <c r="A61" i="53"/>
  <c r="I61" i="53" s="1"/>
  <c r="J64" i="54"/>
  <c r="A64" i="54"/>
  <c r="I64" i="54" s="1"/>
  <c r="B63" i="54"/>
  <c r="J63" i="54" s="1"/>
  <c r="A63" i="54"/>
  <c r="I63" i="54" s="1"/>
  <c r="Q62" i="54"/>
  <c r="B62" i="54"/>
  <c r="J62" i="54" s="1"/>
  <c r="A62" i="54"/>
  <c r="I62" i="54" s="1"/>
  <c r="B61" i="54"/>
  <c r="J61" i="54" s="1"/>
  <c r="A61" i="54"/>
  <c r="I61" i="54" s="1"/>
  <c r="J64" i="57"/>
  <c r="A64" i="57"/>
  <c r="I64" i="57" s="1"/>
  <c r="B63" i="57"/>
  <c r="J63" i="57" s="1"/>
  <c r="A63" i="57"/>
  <c r="I63" i="57" s="1"/>
  <c r="Q62" i="57"/>
  <c r="B62" i="57"/>
  <c r="J62" i="57" s="1"/>
  <c r="A62" i="57"/>
  <c r="I62" i="57" s="1"/>
  <c r="Q61" i="57"/>
  <c r="B61" i="57"/>
  <c r="J61" i="57" s="1"/>
  <c r="A61" i="57"/>
  <c r="I61" i="57" s="1"/>
  <c r="A63" i="35"/>
  <c r="I63" i="35" s="1"/>
  <c r="A62" i="35"/>
  <c r="A61" i="35"/>
  <c r="A64" i="35"/>
  <c r="B63" i="35"/>
  <c r="J63" i="35" s="1"/>
  <c r="Q63" i="35" l="1"/>
  <c r="Q61" i="54"/>
  <c r="H6" i="26"/>
  <c r="Q10" i="35"/>
  <c r="H5" i="52" a="1"/>
  <c r="H5" i="52" s="1"/>
  <c r="H5" i="51" a="1"/>
  <c r="H5" i="51" s="1"/>
  <c r="H5" i="50" a="1"/>
  <c r="H5" i="50" s="1"/>
  <c r="H5" i="49" a="1"/>
  <c r="H5" i="49" s="1"/>
  <c r="H5" i="48" a="1"/>
  <c r="H5" i="48" s="1"/>
  <c r="H5" i="47" a="1"/>
  <c r="H5" i="47" s="1"/>
  <c r="H5" i="46" a="1"/>
  <c r="H5" i="46" s="1"/>
  <c r="H5" i="45" a="1"/>
  <c r="H5" i="45" s="1"/>
  <c r="H5" i="44" a="1"/>
  <c r="H5" i="44" s="1"/>
  <c r="C23" i="57"/>
  <c r="A25" i="57" l="1"/>
  <c r="A25" i="58"/>
  <c r="A25" i="59"/>
  <c r="A25" i="60"/>
  <c r="A25" i="55"/>
  <c r="A25" i="56"/>
  <c r="A25" i="53"/>
  <c r="A25" i="54"/>
  <c r="A25" i="35"/>
  <c r="T8" i="57" l="1"/>
  <c r="T8" i="58"/>
  <c r="T8" i="59"/>
  <c r="T8" i="60"/>
  <c r="T8" i="55"/>
  <c r="T8" i="56"/>
  <c r="T8" i="53"/>
  <c r="T8" i="54"/>
  <c r="T8" i="35"/>
  <c r="P23" i="57" l="1"/>
  <c r="O23" i="57"/>
  <c r="N23" i="57"/>
  <c r="M23" i="57"/>
  <c r="L23" i="57"/>
  <c r="K23" i="57"/>
  <c r="H23" i="57"/>
  <c r="G23" i="57"/>
  <c r="F23" i="57"/>
  <c r="E23" i="57"/>
  <c r="D23" i="57"/>
  <c r="P23" i="58"/>
  <c r="O23" i="58"/>
  <c r="N23" i="58"/>
  <c r="M23" i="58"/>
  <c r="L23" i="58"/>
  <c r="K23" i="58"/>
  <c r="H23" i="58"/>
  <c r="G23" i="58"/>
  <c r="F23" i="58"/>
  <c r="E23" i="58"/>
  <c r="D23" i="58"/>
  <c r="P23" i="59"/>
  <c r="O23" i="59"/>
  <c r="N23" i="59"/>
  <c r="M23" i="59"/>
  <c r="L23" i="59"/>
  <c r="K23" i="59"/>
  <c r="H23" i="59"/>
  <c r="G23" i="59"/>
  <c r="F23" i="59"/>
  <c r="E23" i="59"/>
  <c r="D23" i="59"/>
  <c r="P23" i="60"/>
  <c r="O23" i="60"/>
  <c r="N23" i="60"/>
  <c r="M23" i="60"/>
  <c r="L23" i="60"/>
  <c r="K23" i="60"/>
  <c r="H23" i="60"/>
  <c r="G23" i="60"/>
  <c r="F23" i="60"/>
  <c r="E23" i="60"/>
  <c r="D23" i="60"/>
  <c r="P23" i="55"/>
  <c r="O23" i="55"/>
  <c r="N23" i="55"/>
  <c r="M23" i="55"/>
  <c r="L23" i="55"/>
  <c r="K23" i="55"/>
  <c r="H23" i="55"/>
  <c r="G23" i="55"/>
  <c r="F23" i="55"/>
  <c r="E23" i="55"/>
  <c r="D23" i="55"/>
  <c r="P23" i="56"/>
  <c r="O23" i="56"/>
  <c r="N23" i="56"/>
  <c r="M23" i="56"/>
  <c r="L23" i="56"/>
  <c r="K23" i="56"/>
  <c r="H23" i="56"/>
  <c r="G23" i="56"/>
  <c r="F23" i="56"/>
  <c r="E23" i="56"/>
  <c r="D23" i="56"/>
  <c r="P23" i="53"/>
  <c r="O23" i="53"/>
  <c r="N23" i="53"/>
  <c r="M23" i="53"/>
  <c r="L23" i="53"/>
  <c r="K23" i="53"/>
  <c r="H23" i="53"/>
  <c r="G23" i="53"/>
  <c r="F23" i="53"/>
  <c r="E23" i="53"/>
  <c r="D23" i="53"/>
  <c r="P23" i="54"/>
  <c r="O23" i="54"/>
  <c r="N23" i="54"/>
  <c r="M23" i="54"/>
  <c r="L23" i="54"/>
  <c r="K23" i="54"/>
  <c r="H23" i="54"/>
  <c r="G23" i="54"/>
  <c r="F23" i="54"/>
  <c r="E23" i="54"/>
  <c r="D23" i="54"/>
  <c r="C23" i="58"/>
  <c r="C23" i="59"/>
  <c r="C23" i="60"/>
  <c r="C23" i="55"/>
  <c r="C23" i="56"/>
  <c r="C23" i="53"/>
  <c r="C23" i="54"/>
  <c r="A2" i="58" l="1"/>
  <c r="A2" i="59"/>
  <c r="A2" i="60"/>
  <c r="A2" i="55"/>
  <c r="A2" i="56"/>
  <c r="A2" i="53"/>
  <c r="A2" i="54"/>
  <c r="A2" i="57"/>
  <c r="A1" i="58"/>
  <c r="A1" i="59"/>
  <c r="A1" i="60"/>
  <c r="A1" i="55"/>
  <c r="A1" i="56"/>
  <c r="A1" i="53"/>
  <c r="A1" i="54"/>
  <c r="A1" i="57"/>
  <c r="W42" i="58" l="1"/>
  <c r="W21" i="58"/>
  <c r="W42" i="59"/>
  <c r="W21" i="59"/>
  <c r="W42" i="60"/>
  <c r="W21" i="60"/>
  <c r="W42" i="55"/>
  <c r="W21" i="55"/>
  <c r="W42" i="56"/>
  <c r="W21" i="56"/>
  <c r="W42" i="53"/>
  <c r="W21" i="53"/>
  <c r="W42" i="54"/>
  <c r="W42" i="57"/>
  <c r="W42" i="35"/>
  <c r="P58" i="57" l="1"/>
  <c r="O58" i="57"/>
  <c r="N58" i="57"/>
  <c r="M58" i="57"/>
  <c r="L58" i="57"/>
  <c r="K58" i="57"/>
  <c r="H58" i="57"/>
  <c r="G58" i="57"/>
  <c r="F58" i="57"/>
  <c r="E58" i="57"/>
  <c r="D58" i="57"/>
  <c r="P58" i="58"/>
  <c r="O58" i="58"/>
  <c r="N58" i="58"/>
  <c r="M58" i="58"/>
  <c r="L58" i="58"/>
  <c r="K58" i="58"/>
  <c r="H58" i="58"/>
  <c r="G58" i="58"/>
  <c r="F58" i="58"/>
  <c r="E58" i="58"/>
  <c r="D58" i="58"/>
  <c r="P58" i="59"/>
  <c r="O58" i="59"/>
  <c r="N58" i="59"/>
  <c r="M58" i="59"/>
  <c r="L58" i="59"/>
  <c r="K58" i="59"/>
  <c r="H58" i="59"/>
  <c r="G58" i="59"/>
  <c r="F58" i="59"/>
  <c r="E58" i="59"/>
  <c r="D58" i="59"/>
  <c r="P58" i="60"/>
  <c r="O58" i="60"/>
  <c r="N58" i="60"/>
  <c r="M58" i="60"/>
  <c r="L58" i="60"/>
  <c r="K58" i="60"/>
  <c r="H58" i="60"/>
  <c r="G58" i="60"/>
  <c r="F58" i="60"/>
  <c r="E58" i="60"/>
  <c r="D58" i="60"/>
  <c r="P58" i="55"/>
  <c r="O58" i="55"/>
  <c r="N58" i="55"/>
  <c r="M58" i="55"/>
  <c r="L58" i="55"/>
  <c r="K58" i="55"/>
  <c r="H58" i="55"/>
  <c r="G58" i="55"/>
  <c r="F58" i="55"/>
  <c r="E58" i="55"/>
  <c r="D58" i="55"/>
  <c r="P58" i="56"/>
  <c r="O58" i="56"/>
  <c r="N58" i="56"/>
  <c r="M58" i="56"/>
  <c r="L58" i="56"/>
  <c r="K58" i="56"/>
  <c r="H58" i="56"/>
  <c r="G58" i="56"/>
  <c r="F58" i="56"/>
  <c r="E58" i="56"/>
  <c r="D58" i="56"/>
  <c r="P58" i="53"/>
  <c r="O58" i="53"/>
  <c r="N58" i="53"/>
  <c r="M58" i="53"/>
  <c r="L58" i="53"/>
  <c r="K58" i="53"/>
  <c r="H58" i="53"/>
  <c r="G58" i="53"/>
  <c r="F58" i="53"/>
  <c r="E58" i="53"/>
  <c r="D58" i="53"/>
  <c r="P58" i="54"/>
  <c r="O58" i="54"/>
  <c r="N58" i="54"/>
  <c r="M58" i="54"/>
  <c r="L58" i="54"/>
  <c r="K58" i="54"/>
  <c r="H58" i="54"/>
  <c r="G58" i="54"/>
  <c r="F58" i="54"/>
  <c r="E58" i="54"/>
  <c r="D58" i="54"/>
  <c r="C58" i="57"/>
  <c r="C58" i="58"/>
  <c r="C58" i="59"/>
  <c r="C58" i="60"/>
  <c r="C58" i="55"/>
  <c r="C58" i="56"/>
  <c r="C58" i="53"/>
  <c r="M83" i="45" l="1"/>
  <c r="M83" i="46"/>
  <c r="M83" i="47"/>
  <c r="M83" i="48"/>
  <c r="M83" i="49"/>
  <c r="M83" i="50"/>
  <c r="M83" i="51"/>
  <c r="M83" i="52"/>
  <c r="E10" i="59" l="1"/>
  <c r="E10" i="60"/>
  <c r="E10" i="55"/>
  <c r="E10" i="56"/>
  <c r="E10" i="53"/>
  <c r="E10" i="54"/>
  <c r="E10" i="58"/>
  <c r="D71" i="52"/>
  <c r="L13" i="52"/>
  <c r="L12" i="52"/>
  <c r="L11" i="52"/>
  <c r="B5" i="52"/>
  <c r="D71" i="51"/>
  <c r="L13" i="51"/>
  <c r="L12" i="51"/>
  <c r="L11" i="51"/>
  <c r="B5" i="51"/>
  <c r="D71" i="50"/>
  <c r="R23" i="50"/>
  <c r="L13" i="50"/>
  <c r="L12" i="50"/>
  <c r="L11" i="50"/>
  <c r="B5" i="50"/>
  <c r="D71" i="49"/>
  <c r="R50" i="49"/>
  <c r="L13" i="49"/>
  <c r="L12" i="49"/>
  <c r="L11" i="49"/>
  <c r="B5" i="49"/>
  <c r="D71" i="48"/>
  <c r="L13" i="48"/>
  <c r="L12" i="48"/>
  <c r="L11" i="48"/>
  <c r="B5" i="48"/>
  <c r="D71" i="47"/>
  <c r="L13" i="47"/>
  <c r="L12" i="47"/>
  <c r="L11" i="47"/>
  <c r="B5" i="47"/>
  <c r="D71" i="46"/>
  <c r="L13" i="46"/>
  <c r="L12" i="46"/>
  <c r="L11" i="46"/>
  <c r="B5" i="46"/>
  <c r="M81" i="47"/>
  <c r="M79" i="47"/>
  <c r="M77" i="47"/>
  <c r="M81" i="48"/>
  <c r="M79" i="48"/>
  <c r="M77" i="48"/>
  <c r="M81" i="49"/>
  <c r="M79" i="49"/>
  <c r="M77" i="49"/>
  <c r="M81" i="50"/>
  <c r="M79" i="50"/>
  <c r="M77" i="50"/>
  <c r="M81" i="51"/>
  <c r="M79" i="51"/>
  <c r="M77" i="51"/>
  <c r="M81" i="52"/>
  <c r="M79" i="52"/>
  <c r="M77" i="52"/>
  <c r="M81" i="46"/>
  <c r="M79" i="46"/>
  <c r="M77" i="46"/>
  <c r="D71" i="45"/>
  <c r="L13" i="45"/>
  <c r="L12" i="45"/>
  <c r="L11" i="45"/>
  <c r="B5" i="45"/>
  <c r="M81" i="45"/>
  <c r="M79" i="45"/>
  <c r="M77" i="45"/>
  <c r="J37" i="34"/>
  <c r="C37" i="34"/>
  <c r="A37" i="34"/>
  <c r="D36" i="34"/>
  <c r="C36" i="34"/>
  <c r="C39" i="34"/>
  <c r="A39" i="34"/>
  <c r="D38" i="34"/>
  <c r="C38" i="34"/>
  <c r="J35" i="34"/>
  <c r="C35" i="34"/>
  <c r="A35" i="34"/>
  <c r="D34" i="34"/>
  <c r="C34" i="34"/>
  <c r="C33" i="34"/>
  <c r="A33" i="34"/>
  <c r="D32" i="34"/>
  <c r="C32" i="34"/>
  <c r="C31" i="34"/>
  <c r="A31" i="34"/>
  <c r="D30" i="34"/>
  <c r="C30" i="34"/>
  <c r="C29" i="34"/>
  <c r="A29" i="34"/>
  <c r="D28" i="34"/>
  <c r="C28" i="34"/>
  <c r="C27" i="34"/>
  <c r="A27" i="34"/>
  <c r="D26" i="34"/>
  <c r="C26" i="34"/>
  <c r="C25" i="34"/>
  <c r="A25" i="34"/>
  <c r="D24" i="34"/>
  <c r="C24" i="34"/>
  <c r="D22" i="34"/>
  <c r="C42" i="26"/>
  <c r="B42" i="26"/>
  <c r="A42" i="26"/>
  <c r="D41" i="26"/>
  <c r="C41" i="26"/>
  <c r="A41" i="26"/>
  <c r="C40" i="26"/>
  <c r="B40" i="26"/>
  <c r="A40" i="26"/>
  <c r="D39" i="26"/>
  <c r="C39" i="26"/>
  <c r="A39" i="26"/>
  <c r="C38" i="26"/>
  <c r="B38" i="26"/>
  <c r="A38" i="26"/>
  <c r="D37" i="26"/>
  <c r="C37" i="26"/>
  <c r="A37" i="26"/>
  <c r="C36" i="26"/>
  <c r="B36" i="26"/>
  <c r="A36" i="26"/>
  <c r="D35" i="26"/>
  <c r="C35" i="26"/>
  <c r="A35" i="26"/>
  <c r="Q60" i="54"/>
  <c r="P60" i="54"/>
  <c r="O60" i="54"/>
  <c r="N60" i="54"/>
  <c r="M60" i="54"/>
  <c r="L60" i="54"/>
  <c r="K60" i="54"/>
  <c r="H60" i="54"/>
  <c r="G60" i="54"/>
  <c r="F60" i="54"/>
  <c r="E60" i="54"/>
  <c r="D60" i="54"/>
  <c r="C60" i="54"/>
  <c r="A60" i="54"/>
  <c r="I60" i="54" s="1"/>
  <c r="I58" i="54"/>
  <c r="I57" i="54"/>
  <c r="P56" i="54"/>
  <c r="O56" i="54"/>
  <c r="N56" i="54"/>
  <c r="M56" i="54"/>
  <c r="L56" i="54"/>
  <c r="K56" i="54"/>
  <c r="I56" i="54"/>
  <c r="H56" i="54"/>
  <c r="G56" i="54"/>
  <c r="F56" i="54"/>
  <c r="E56" i="54"/>
  <c r="D56" i="54"/>
  <c r="C56" i="54"/>
  <c r="P55" i="54"/>
  <c r="O55" i="54"/>
  <c r="N55" i="54"/>
  <c r="M55" i="54"/>
  <c r="L55" i="54"/>
  <c r="K55" i="54"/>
  <c r="I55" i="54"/>
  <c r="H55" i="54"/>
  <c r="G55" i="54"/>
  <c r="F55" i="54"/>
  <c r="E55" i="54"/>
  <c r="D55" i="54"/>
  <c r="C55" i="54"/>
  <c r="Q54" i="54"/>
  <c r="Q52" i="54"/>
  <c r="I52" i="54"/>
  <c r="P51" i="54"/>
  <c r="O51" i="54"/>
  <c r="N51" i="54"/>
  <c r="M51" i="54"/>
  <c r="L51" i="54"/>
  <c r="K51" i="54"/>
  <c r="I51" i="54"/>
  <c r="H51" i="54"/>
  <c r="G51" i="54"/>
  <c r="F51" i="54"/>
  <c r="E51" i="54"/>
  <c r="D51" i="54"/>
  <c r="C51" i="54"/>
  <c r="Q50" i="54"/>
  <c r="I50" i="54"/>
  <c r="I49" i="54"/>
  <c r="P48" i="54"/>
  <c r="O48" i="54"/>
  <c r="N48" i="54"/>
  <c r="M48" i="54"/>
  <c r="L48" i="54"/>
  <c r="K48" i="54"/>
  <c r="I48" i="54"/>
  <c r="H48" i="54"/>
  <c r="G48" i="54"/>
  <c r="F48" i="54"/>
  <c r="E48" i="54"/>
  <c r="D48" i="54"/>
  <c r="C48" i="54"/>
  <c r="Q47" i="54"/>
  <c r="I47" i="54"/>
  <c r="Q46" i="54"/>
  <c r="R50" i="52" s="1"/>
  <c r="A46" i="54"/>
  <c r="I46" i="54" s="1"/>
  <c r="J46" i="54" s="1"/>
  <c r="A44" i="54"/>
  <c r="I44" i="54" s="1"/>
  <c r="A43" i="54"/>
  <c r="I43" i="54" s="1"/>
  <c r="A42" i="54"/>
  <c r="I42" i="54" s="1"/>
  <c r="I39" i="54"/>
  <c r="I38" i="54"/>
  <c r="I37" i="54"/>
  <c r="Q36" i="54"/>
  <c r="J39" i="34" s="1"/>
  <c r="I36" i="54"/>
  <c r="AJ35" i="54"/>
  <c r="AI35" i="54"/>
  <c r="AH35" i="54"/>
  <c r="AG35" i="54"/>
  <c r="AF35" i="54"/>
  <c r="AE35" i="54"/>
  <c r="AD35" i="54"/>
  <c r="AC35" i="54"/>
  <c r="AB35" i="54"/>
  <c r="AA35" i="54"/>
  <c r="Z35" i="54"/>
  <c r="Y35" i="54"/>
  <c r="Q35" i="54"/>
  <c r="I35" i="54"/>
  <c r="AJ34" i="54"/>
  <c r="AI34" i="54"/>
  <c r="AH34" i="54"/>
  <c r="AG34" i="54"/>
  <c r="AF34" i="54"/>
  <c r="AE34" i="54"/>
  <c r="AD34" i="54"/>
  <c r="AC34" i="54"/>
  <c r="AB34" i="54"/>
  <c r="AA34" i="54"/>
  <c r="Z34" i="54"/>
  <c r="Y34" i="54"/>
  <c r="Q34" i="54"/>
  <c r="I34" i="54"/>
  <c r="Q33" i="54"/>
  <c r="I33" i="54"/>
  <c r="Q32" i="54"/>
  <c r="I32" i="54"/>
  <c r="Q31" i="54"/>
  <c r="R23" i="52" s="1"/>
  <c r="I31" i="54"/>
  <c r="A30" i="54"/>
  <c r="B30" i="54" s="1"/>
  <c r="P29" i="54"/>
  <c r="O29" i="54"/>
  <c r="N29" i="54"/>
  <c r="M29" i="54"/>
  <c r="L29" i="54"/>
  <c r="K29" i="54"/>
  <c r="H29" i="54"/>
  <c r="G29" i="54"/>
  <c r="F29" i="54"/>
  <c r="E29" i="54"/>
  <c r="D29" i="54"/>
  <c r="C29" i="54"/>
  <c r="A29" i="54"/>
  <c r="I29" i="54" s="1"/>
  <c r="J29" i="54" s="1"/>
  <c r="Q28" i="54"/>
  <c r="A28" i="54"/>
  <c r="B28" i="54" s="1"/>
  <c r="P27" i="54"/>
  <c r="O27" i="54"/>
  <c r="N27" i="54"/>
  <c r="M27" i="54"/>
  <c r="L27" i="54"/>
  <c r="K27" i="54"/>
  <c r="H27" i="54"/>
  <c r="G27" i="54"/>
  <c r="F27" i="54"/>
  <c r="E27" i="54"/>
  <c r="D27" i="54"/>
  <c r="C27" i="54"/>
  <c r="A27" i="54"/>
  <c r="B27" i="54" s="1"/>
  <c r="Q26" i="54"/>
  <c r="A26" i="54"/>
  <c r="I26" i="54" s="1"/>
  <c r="J26" i="54" s="1"/>
  <c r="Q25" i="54"/>
  <c r="B25" i="54"/>
  <c r="Q24" i="54"/>
  <c r="A24" i="54"/>
  <c r="B24" i="54" s="1"/>
  <c r="A23" i="54"/>
  <c r="I23" i="54" s="1"/>
  <c r="J23" i="54" s="1"/>
  <c r="P22" i="54"/>
  <c r="O22" i="54"/>
  <c r="N22" i="54"/>
  <c r="M22" i="54"/>
  <c r="L22" i="54"/>
  <c r="K22" i="54"/>
  <c r="H22" i="54"/>
  <c r="G22" i="54"/>
  <c r="F22" i="54"/>
  <c r="E22" i="54"/>
  <c r="D22" i="54"/>
  <c r="C22" i="54"/>
  <c r="A22" i="54"/>
  <c r="B22" i="54" s="1"/>
  <c r="A21" i="54"/>
  <c r="I21" i="54" s="1"/>
  <c r="A17" i="54"/>
  <c r="D17" i="54" s="1"/>
  <c r="I15" i="54"/>
  <c r="Y14" i="54"/>
  <c r="L14" i="54"/>
  <c r="I14" i="54"/>
  <c r="Z13" i="54"/>
  <c r="Y13" i="54"/>
  <c r="I13" i="54"/>
  <c r="Z12" i="54"/>
  <c r="Y12" i="54"/>
  <c r="M12" i="54"/>
  <c r="I12" i="54"/>
  <c r="Z11" i="54"/>
  <c r="Y11" i="54"/>
  <c r="AD10" i="54"/>
  <c r="AD7" i="54" s="1"/>
  <c r="Q10" i="54"/>
  <c r="N10" i="54"/>
  <c r="H10" i="54"/>
  <c r="I10" i="54" s="1"/>
  <c r="AD9" i="54"/>
  <c r="T9" i="54"/>
  <c r="A41" i="54" s="1"/>
  <c r="I41" i="54" s="1"/>
  <c r="N9" i="54"/>
  <c r="L9" i="54"/>
  <c r="I9" i="54"/>
  <c r="A40" i="54"/>
  <c r="I40" i="54" s="1"/>
  <c r="Z7" i="54"/>
  <c r="Q7" i="54"/>
  <c r="N7" i="54"/>
  <c r="M7" i="54"/>
  <c r="I7" i="54"/>
  <c r="AC6" i="54"/>
  <c r="S28" i="54" s="1"/>
  <c r="W29" i="54" s="1"/>
  <c r="N6" i="54"/>
  <c r="Q4" i="54"/>
  <c r="H4" i="54"/>
  <c r="I2" i="54"/>
  <c r="L1" i="54"/>
  <c r="I1" i="54"/>
  <c r="Q60" i="53"/>
  <c r="P60" i="53"/>
  <c r="O60" i="53"/>
  <c r="N60" i="53"/>
  <c r="M60" i="53"/>
  <c r="L60" i="53"/>
  <c r="K60" i="53"/>
  <c r="H60" i="53"/>
  <c r="G60" i="53"/>
  <c r="F60" i="53"/>
  <c r="E60" i="53"/>
  <c r="D60" i="53"/>
  <c r="C60" i="53"/>
  <c r="A60" i="53"/>
  <c r="I60" i="53" s="1"/>
  <c r="I58" i="53"/>
  <c r="I57" i="53"/>
  <c r="P56" i="53"/>
  <c r="O56" i="53"/>
  <c r="N56" i="53"/>
  <c r="M56" i="53"/>
  <c r="L56" i="53"/>
  <c r="K56" i="53"/>
  <c r="I56" i="53"/>
  <c r="H56" i="53"/>
  <c r="G56" i="53"/>
  <c r="F56" i="53"/>
  <c r="E56" i="53"/>
  <c r="D56" i="53"/>
  <c r="C56" i="53"/>
  <c r="P55" i="53"/>
  <c r="O55" i="53"/>
  <c r="N55" i="53"/>
  <c r="M55" i="53"/>
  <c r="L55" i="53"/>
  <c r="K55" i="53"/>
  <c r="I55" i="53"/>
  <c r="H55" i="53"/>
  <c r="G55" i="53"/>
  <c r="F55" i="53"/>
  <c r="E55" i="53"/>
  <c r="D55" i="53"/>
  <c r="C55" i="53"/>
  <c r="Q54" i="53"/>
  <c r="Q52" i="53"/>
  <c r="I52" i="53"/>
  <c r="P51" i="53"/>
  <c r="O51" i="53"/>
  <c r="N51" i="53"/>
  <c r="M51" i="53"/>
  <c r="L51" i="53"/>
  <c r="K51" i="53"/>
  <c r="I51" i="53"/>
  <c r="H51" i="53"/>
  <c r="G51" i="53"/>
  <c r="F51" i="53"/>
  <c r="E51" i="53"/>
  <c r="D51" i="53"/>
  <c r="C51" i="53"/>
  <c r="Q50" i="53"/>
  <c r="I50" i="53"/>
  <c r="I49" i="53"/>
  <c r="P48" i="53"/>
  <c r="O48" i="53"/>
  <c r="N48" i="53"/>
  <c r="M48" i="53"/>
  <c r="L48" i="53"/>
  <c r="K48" i="53"/>
  <c r="I48" i="53"/>
  <c r="H48" i="53"/>
  <c r="G48" i="53"/>
  <c r="F48" i="53"/>
  <c r="E48" i="53"/>
  <c r="D48" i="53"/>
  <c r="C48" i="53"/>
  <c r="Q48" i="53" s="1"/>
  <c r="Q47" i="53"/>
  <c r="I47" i="53"/>
  <c r="Q46" i="53"/>
  <c r="R50" i="51" s="1"/>
  <c r="A46" i="53"/>
  <c r="I46" i="53" s="1"/>
  <c r="J46" i="53" s="1"/>
  <c r="A44" i="53"/>
  <c r="I44" i="53" s="1"/>
  <c r="A43" i="53"/>
  <c r="I43" i="53" s="1"/>
  <c r="A42" i="53"/>
  <c r="I42" i="53" s="1"/>
  <c r="I39" i="53"/>
  <c r="I38" i="53"/>
  <c r="I37" i="53"/>
  <c r="Q36" i="53"/>
  <c r="I36" i="53"/>
  <c r="AJ35" i="53"/>
  <c r="AI35" i="53"/>
  <c r="AH35" i="53"/>
  <c r="AG35" i="53"/>
  <c r="AF35" i="53"/>
  <c r="AE35" i="53"/>
  <c r="AD35" i="53"/>
  <c r="AC35" i="53"/>
  <c r="AB35" i="53"/>
  <c r="AA35" i="53"/>
  <c r="Z35" i="53"/>
  <c r="Y35" i="53"/>
  <c r="Q35" i="53"/>
  <c r="I35" i="53"/>
  <c r="AJ34" i="53"/>
  <c r="AI34" i="53"/>
  <c r="AH34" i="53"/>
  <c r="AG34" i="53"/>
  <c r="AF34" i="53"/>
  <c r="AE34" i="53"/>
  <c r="AD34" i="53"/>
  <c r="AC34" i="53"/>
  <c r="AB34" i="53"/>
  <c r="AA34" i="53"/>
  <c r="Z34" i="53"/>
  <c r="Y34" i="53"/>
  <c r="Q34" i="53"/>
  <c r="I34" i="53"/>
  <c r="Q33" i="53"/>
  <c r="I33" i="53"/>
  <c r="Q32" i="53"/>
  <c r="I32" i="53"/>
  <c r="Q31" i="53"/>
  <c r="R23" i="51" s="1"/>
  <c r="I31" i="53"/>
  <c r="A30" i="53"/>
  <c r="B30" i="53" s="1"/>
  <c r="P29" i="53"/>
  <c r="O29" i="53"/>
  <c r="N29" i="53"/>
  <c r="M29" i="53"/>
  <c r="L29" i="53"/>
  <c r="K29" i="53"/>
  <c r="H29" i="53"/>
  <c r="G29" i="53"/>
  <c r="F29" i="53"/>
  <c r="E29" i="53"/>
  <c r="D29" i="53"/>
  <c r="C29" i="53"/>
  <c r="A29" i="53"/>
  <c r="B29" i="53" s="1"/>
  <c r="Q28" i="53"/>
  <c r="A28" i="53"/>
  <c r="B28" i="53" s="1"/>
  <c r="P27" i="53"/>
  <c r="O27" i="53"/>
  <c r="N27" i="53"/>
  <c r="M27" i="53"/>
  <c r="L27" i="53"/>
  <c r="K27" i="53"/>
  <c r="K30" i="53" s="1"/>
  <c r="H27" i="53"/>
  <c r="G27" i="53"/>
  <c r="G30" i="53" s="1"/>
  <c r="F27" i="53"/>
  <c r="E27" i="53"/>
  <c r="D27" i="53"/>
  <c r="C27" i="53"/>
  <c r="C30" i="53" s="1"/>
  <c r="A27" i="53"/>
  <c r="I27" i="53" s="1"/>
  <c r="J27" i="53" s="1"/>
  <c r="Q26" i="53"/>
  <c r="A26" i="53"/>
  <c r="Q25" i="53"/>
  <c r="B25" i="53"/>
  <c r="Q24" i="53"/>
  <c r="A24" i="53"/>
  <c r="A23" i="53"/>
  <c r="I23" i="53" s="1"/>
  <c r="J23" i="53" s="1"/>
  <c r="P22" i="53"/>
  <c r="O22" i="53"/>
  <c r="N22" i="53"/>
  <c r="M22" i="53"/>
  <c r="L22" i="53"/>
  <c r="K22" i="53"/>
  <c r="H22" i="53"/>
  <c r="G22" i="53"/>
  <c r="F22" i="53"/>
  <c r="E22" i="53"/>
  <c r="D22" i="53"/>
  <c r="C22" i="53"/>
  <c r="A22" i="53"/>
  <c r="B22" i="53" s="1"/>
  <c r="A21" i="53"/>
  <c r="B7" i="51" s="1"/>
  <c r="A17" i="53"/>
  <c r="D17" i="53" s="1"/>
  <c r="I15" i="53"/>
  <c r="Y14" i="53"/>
  <c r="L14" i="53"/>
  <c r="M14" i="53" s="1"/>
  <c r="M15" i="53" s="1"/>
  <c r="I14" i="53"/>
  <c r="Z13" i="53"/>
  <c r="Y13" i="53"/>
  <c r="I13" i="53"/>
  <c r="Z12" i="53"/>
  <c r="Y12" i="53"/>
  <c r="M12" i="53"/>
  <c r="I12" i="53"/>
  <c r="Z11" i="53"/>
  <c r="Y11" i="53"/>
  <c r="AD10" i="53"/>
  <c r="AD7" i="53" s="1"/>
  <c r="S36" i="53" s="1"/>
  <c r="W37" i="53" s="1"/>
  <c r="Q10" i="53"/>
  <c r="N10" i="53"/>
  <c r="H10" i="53"/>
  <c r="I10" i="53" s="1"/>
  <c r="AD9" i="53"/>
  <c r="T9" i="53"/>
  <c r="A41" i="53" s="1"/>
  <c r="I41" i="53" s="1"/>
  <c r="N9" i="53"/>
  <c r="L9" i="53"/>
  <c r="M9" i="53" s="1"/>
  <c r="M10" i="53" s="1"/>
  <c r="I9" i="53"/>
  <c r="A40" i="53"/>
  <c r="I40" i="53" s="1"/>
  <c r="Z7" i="53"/>
  <c r="Q7" i="53"/>
  <c r="N7" i="53"/>
  <c r="M7" i="53"/>
  <c r="I7" i="53"/>
  <c r="AC6" i="53"/>
  <c r="S28" i="53" s="1"/>
  <c r="W29" i="53" s="1"/>
  <c r="N6" i="53"/>
  <c r="Q4" i="53"/>
  <c r="H4" i="53"/>
  <c r="I2" i="53"/>
  <c r="L1" i="53"/>
  <c r="I1" i="53"/>
  <c r="Q60" i="56"/>
  <c r="P60" i="56"/>
  <c r="O60" i="56"/>
  <c r="N60" i="56"/>
  <c r="M60" i="56"/>
  <c r="L60" i="56"/>
  <c r="K60" i="56"/>
  <c r="H60" i="56"/>
  <c r="G60" i="56"/>
  <c r="F60" i="56"/>
  <c r="E60" i="56"/>
  <c r="D60" i="56"/>
  <c r="C60" i="56"/>
  <c r="A60" i="56"/>
  <c r="I60" i="56" s="1"/>
  <c r="I58" i="56"/>
  <c r="I57" i="56"/>
  <c r="P56" i="56"/>
  <c r="O56" i="56"/>
  <c r="N56" i="56"/>
  <c r="M56" i="56"/>
  <c r="L56" i="56"/>
  <c r="K56" i="56"/>
  <c r="I56" i="56"/>
  <c r="H56" i="56"/>
  <c r="G56" i="56"/>
  <c r="F56" i="56"/>
  <c r="E56" i="56"/>
  <c r="D56" i="56"/>
  <c r="C56" i="56"/>
  <c r="P55" i="56"/>
  <c r="O55" i="56"/>
  <c r="N55" i="56"/>
  <c r="M55" i="56"/>
  <c r="L55" i="56"/>
  <c r="K55" i="56"/>
  <c r="I55" i="56"/>
  <c r="H55" i="56"/>
  <c r="G55" i="56"/>
  <c r="F55" i="56"/>
  <c r="E55" i="56"/>
  <c r="D55" i="56"/>
  <c r="C55" i="56"/>
  <c r="Q54" i="56"/>
  <c r="Q52" i="56"/>
  <c r="I52" i="56"/>
  <c r="P51" i="56"/>
  <c r="O51" i="56"/>
  <c r="N51" i="56"/>
  <c r="M51" i="56"/>
  <c r="L51" i="56"/>
  <c r="K51" i="56"/>
  <c r="I51" i="56"/>
  <c r="H51" i="56"/>
  <c r="G51" i="56"/>
  <c r="F51" i="56"/>
  <c r="E51" i="56"/>
  <c r="D51" i="56"/>
  <c r="C51" i="56"/>
  <c r="Q50" i="56"/>
  <c r="I50" i="56"/>
  <c r="I49" i="56"/>
  <c r="P48" i="56"/>
  <c r="O48" i="56"/>
  <c r="N48" i="56"/>
  <c r="M48" i="56"/>
  <c r="L48" i="56"/>
  <c r="K48" i="56"/>
  <c r="I48" i="56"/>
  <c r="H48" i="56"/>
  <c r="G48" i="56"/>
  <c r="F48" i="56"/>
  <c r="E48" i="56"/>
  <c r="D48" i="56"/>
  <c r="C48" i="56"/>
  <c r="Q47" i="56"/>
  <c r="I47" i="56"/>
  <c r="Q46" i="56"/>
  <c r="R50" i="50" s="1"/>
  <c r="A46" i="56"/>
  <c r="A44" i="56"/>
  <c r="I44" i="56" s="1"/>
  <c r="A43" i="56"/>
  <c r="I43" i="56" s="1"/>
  <c r="A42" i="56"/>
  <c r="I42" i="56" s="1"/>
  <c r="I39" i="56"/>
  <c r="I38" i="56"/>
  <c r="I37" i="56"/>
  <c r="Q36" i="56"/>
  <c r="I36" i="56"/>
  <c r="AJ35" i="56"/>
  <c r="AI35" i="56"/>
  <c r="AH35" i="56"/>
  <c r="AG35" i="56"/>
  <c r="AF35" i="56"/>
  <c r="AE35" i="56"/>
  <c r="AD35" i="56"/>
  <c r="AC35" i="56"/>
  <c r="AB35" i="56"/>
  <c r="AA35" i="56"/>
  <c r="Z35" i="56"/>
  <c r="Y35" i="56"/>
  <c r="Q35" i="56"/>
  <c r="I35" i="56"/>
  <c r="AJ34" i="56"/>
  <c r="AI34" i="56"/>
  <c r="AH34" i="56"/>
  <c r="AG34" i="56"/>
  <c r="AF34" i="56"/>
  <c r="AE34" i="56"/>
  <c r="AD34" i="56"/>
  <c r="AC34" i="56"/>
  <c r="AB34" i="56"/>
  <c r="AA34" i="56"/>
  <c r="Z34" i="56"/>
  <c r="Y34" i="56"/>
  <c r="Q34" i="56"/>
  <c r="I34" i="56"/>
  <c r="Q33" i="56"/>
  <c r="I33" i="56"/>
  <c r="Q32" i="56"/>
  <c r="I32" i="56"/>
  <c r="Q31" i="56"/>
  <c r="I31" i="56"/>
  <c r="A30" i="56"/>
  <c r="B30" i="56" s="1"/>
  <c r="P29" i="56"/>
  <c r="O29" i="56"/>
  <c r="N29" i="56"/>
  <c r="M29" i="56"/>
  <c r="L29" i="56"/>
  <c r="K29" i="56"/>
  <c r="H29" i="56"/>
  <c r="G29" i="56"/>
  <c r="F29" i="56"/>
  <c r="E29" i="56"/>
  <c r="D29" i="56"/>
  <c r="C29" i="56"/>
  <c r="A29" i="56"/>
  <c r="I29" i="56" s="1"/>
  <c r="J29" i="56" s="1"/>
  <c r="Q28" i="56"/>
  <c r="A28" i="56"/>
  <c r="B28" i="56" s="1"/>
  <c r="P27" i="56"/>
  <c r="O27" i="56"/>
  <c r="N27" i="56"/>
  <c r="N30" i="56" s="1"/>
  <c r="M27" i="56"/>
  <c r="L27" i="56"/>
  <c r="K27" i="56"/>
  <c r="H27" i="56"/>
  <c r="H30" i="56" s="1"/>
  <c r="G27" i="56"/>
  <c r="F27" i="56"/>
  <c r="E27" i="56"/>
  <c r="D27" i="56"/>
  <c r="D30" i="56" s="1"/>
  <c r="C27" i="56"/>
  <c r="A27" i="56"/>
  <c r="B27" i="56" s="1"/>
  <c r="Q26" i="56"/>
  <c r="A26" i="56"/>
  <c r="I26" i="56" s="1"/>
  <c r="J26" i="56" s="1"/>
  <c r="Q25" i="56"/>
  <c r="B25" i="56"/>
  <c r="Q24" i="56"/>
  <c r="A24" i="56"/>
  <c r="I24" i="56" s="1"/>
  <c r="J24" i="56" s="1"/>
  <c r="A23" i="56"/>
  <c r="I23" i="56" s="1"/>
  <c r="J23" i="56" s="1"/>
  <c r="P22" i="56"/>
  <c r="O22" i="56"/>
  <c r="N22" i="56"/>
  <c r="M22" i="56"/>
  <c r="L22" i="56"/>
  <c r="K22" i="56"/>
  <c r="H22" i="56"/>
  <c r="G22" i="56"/>
  <c r="F22" i="56"/>
  <c r="E22" i="56"/>
  <c r="D22" i="56"/>
  <c r="C22" i="56"/>
  <c r="A22" i="56"/>
  <c r="B22" i="56" s="1"/>
  <c r="A21" i="56"/>
  <c r="I21" i="56" s="1"/>
  <c r="A17" i="56"/>
  <c r="D17" i="56" s="1"/>
  <c r="I15" i="56"/>
  <c r="Y14" i="56"/>
  <c r="L14" i="56"/>
  <c r="I14" i="56"/>
  <c r="Z13" i="56"/>
  <c r="Y13" i="56"/>
  <c r="I13" i="56"/>
  <c r="Z12" i="56"/>
  <c r="Y12" i="56"/>
  <c r="M12" i="56"/>
  <c r="I12" i="56"/>
  <c r="Z11" i="56"/>
  <c r="Z14" i="56" s="1"/>
  <c r="Y11" i="56"/>
  <c r="AD10" i="56"/>
  <c r="AD7" i="56" s="1"/>
  <c r="S36" i="56" s="1"/>
  <c r="W37" i="56" s="1"/>
  <c r="Q10" i="56"/>
  <c r="N10" i="56"/>
  <c r="H10" i="56"/>
  <c r="I8" i="56" s="1"/>
  <c r="AD9" i="56"/>
  <c r="T9" i="56"/>
  <c r="A41" i="56" s="1"/>
  <c r="I41" i="56" s="1"/>
  <c r="N9" i="56"/>
  <c r="L9" i="56"/>
  <c r="I9" i="56"/>
  <c r="A40" i="56"/>
  <c r="I40" i="56" s="1"/>
  <c r="Z7" i="56"/>
  <c r="Q7" i="56"/>
  <c r="N7" i="56"/>
  <c r="M7" i="56"/>
  <c r="I7" i="56"/>
  <c r="AC6" i="56"/>
  <c r="S28" i="56" s="1"/>
  <c r="W29" i="56" s="1"/>
  <c r="N6" i="56"/>
  <c r="Q4" i="56"/>
  <c r="H4" i="56"/>
  <c r="I2" i="56"/>
  <c r="L1" i="56"/>
  <c r="I1" i="56"/>
  <c r="Q60" i="55"/>
  <c r="P60" i="55"/>
  <c r="O60" i="55"/>
  <c r="N60" i="55"/>
  <c r="M60" i="55"/>
  <c r="L60" i="55"/>
  <c r="K60" i="55"/>
  <c r="H60" i="55"/>
  <c r="G60" i="55"/>
  <c r="F60" i="55"/>
  <c r="E60" i="55"/>
  <c r="D60" i="55"/>
  <c r="C60" i="55"/>
  <c r="A60" i="55"/>
  <c r="I60" i="55" s="1"/>
  <c r="I58" i="55"/>
  <c r="I57" i="55"/>
  <c r="P56" i="55"/>
  <c r="O56" i="55"/>
  <c r="N56" i="55"/>
  <c r="M56" i="55"/>
  <c r="L56" i="55"/>
  <c r="K56" i="55"/>
  <c r="I56" i="55"/>
  <c r="H56" i="55"/>
  <c r="G56" i="55"/>
  <c r="F56" i="55"/>
  <c r="E56" i="55"/>
  <c r="D56" i="55"/>
  <c r="C56" i="55"/>
  <c r="P55" i="55"/>
  <c r="O55" i="55"/>
  <c r="N55" i="55"/>
  <c r="M55" i="55"/>
  <c r="L55" i="55"/>
  <c r="K55" i="55"/>
  <c r="I55" i="55"/>
  <c r="H55" i="55"/>
  <c r="G55" i="55"/>
  <c r="F55" i="55"/>
  <c r="E55" i="55"/>
  <c r="D55" i="55"/>
  <c r="C55" i="55"/>
  <c r="Q54" i="55"/>
  <c r="Q52" i="55"/>
  <c r="I52" i="55"/>
  <c r="P51" i="55"/>
  <c r="O51" i="55"/>
  <c r="N51" i="55"/>
  <c r="M51" i="55"/>
  <c r="L51" i="55"/>
  <c r="K51" i="55"/>
  <c r="I51" i="55"/>
  <c r="H51" i="55"/>
  <c r="G51" i="55"/>
  <c r="F51" i="55"/>
  <c r="E51" i="55"/>
  <c r="D51" i="55"/>
  <c r="C51" i="55"/>
  <c r="Q50" i="55"/>
  <c r="I50" i="55"/>
  <c r="I49" i="55"/>
  <c r="P48" i="55"/>
  <c r="O48" i="55"/>
  <c r="N48" i="55"/>
  <c r="M48" i="55"/>
  <c r="L48" i="55"/>
  <c r="K48" i="55"/>
  <c r="I48" i="55"/>
  <c r="H48" i="55"/>
  <c r="G48" i="55"/>
  <c r="F48" i="55"/>
  <c r="E48" i="55"/>
  <c r="D48" i="55"/>
  <c r="C48" i="55"/>
  <c r="Q47" i="55"/>
  <c r="I47" i="55"/>
  <c r="Q46" i="55"/>
  <c r="A46" i="55"/>
  <c r="A44" i="55"/>
  <c r="I44" i="55" s="1"/>
  <c r="A43" i="55"/>
  <c r="I43" i="55" s="1"/>
  <c r="A42" i="55"/>
  <c r="I42" i="55" s="1"/>
  <c r="I39" i="55"/>
  <c r="I38" i="55"/>
  <c r="I37" i="55"/>
  <c r="Q36" i="55"/>
  <c r="J33" i="34" s="1"/>
  <c r="I36" i="55"/>
  <c r="AJ35" i="55"/>
  <c r="AI35" i="55"/>
  <c r="AH35" i="55"/>
  <c r="AG35" i="55"/>
  <c r="AF35" i="55"/>
  <c r="AE35" i="55"/>
  <c r="AD35" i="55"/>
  <c r="AC35" i="55"/>
  <c r="AB35" i="55"/>
  <c r="AA35" i="55"/>
  <c r="Z35" i="55"/>
  <c r="Y35" i="55"/>
  <c r="Q35" i="55"/>
  <c r="I35" i="55"/>
  <c r="AJ34" i="55"/>
  <c r="AI34" i="55"/>
  <c r="AH34" i="55"/>
  <c r="AG34" i="55"/>
  <c r="AF34" i="55"/>
  <c r="AE34" i="55"/>
  <c r="AD34" i="55"/>
  <c r="AC34" i="55"/>
  <c r="AB34" i="55"/>
  <c r="AA34" i="55"/>
  <c r="Z34" i="55"/>
  <c r="Y34" i="55"/>
  <c r="Q34" i="55"/>
  <c r="I34" i="55"/>
  <c r="Q33" i="55"/>
  <c r="I33" i="55"/>
  <c r="Q32" i="55"/>
  <c r="I32" i="55"/>
  <c r="Q31" i="55"/>
  <c r="R23" i="49" s="1"/>
  <c r="I31" i="55"/>
  <c r="A30" i="55"/>
  <c r="I30" i="55" s="1"/>
  <c r="J30" i="55" s="1"/>
  <c r="P29" i="55"/>
  <c r="O29" i="55"/>
  <c r="N29" i="55"/>
  <c r="M29" i="55"/>
  <c r="L29" i="55"/>
  <c r="K29" i="55"/>
  <c r="H29" i="55"/>
  <c r="G29" i="55"/>
  <c r="F29" i="55"/>
  <c r="E29" i="55"/>
  <c r="D29" i="55"/>
  <c r="C29" i="55"/>
  <c r="A29" i="55"/>
  <c r="B29" i="55" s="1"/>
  <c r="Q28" i="55"/>
  <c r="A28" i="55"/>
  <c r="I28" i="55" s="1"/>
  <c r="J28" i="55" s="1"/>
  <c r="P27" i="55"/>
  <c r="O27" i="55"/>
  <c r="N27" i="55"/>
  <c r="M27" i="55"/>
  <c r="L27" i="55"/>
  <c r="K27" i="55"/>
  <c r="H27" i="55"/>
  <c r="G27" i="55"/>
  <c r="F27" i="55"/>
  <c r="E27" i="55"/>
  <c r="D27" i="55"/>
  <c r="C27" i="55"/>
  <c r="A27" i="55"/>
  <c r="B27" i="55" s="1"/>
  <c r="Q26" i="55"/>
  <c r="A26" i="55"/>
  <c r="I26" i="55" s="1"/>
  <c r="J26" i="55" s="1"/>
  <c r="Q25" i="55"/>
  <c r="I25" i="55"/>
  <c r="J25" i="55" s="1"/>
  <c r="Q24" i="55"/>
  <c r="A24" i="55"/>
  <c r="I24" i="55" s="1"/>
  <c r="J24" i="55" s="1"/>
  <c r="A23" i="55"/>
  <c r="I23" i="55" s="1"/>
  <c r="J23" i="55" s="1"/>
  <c r="P22" i="55"/>
  <c r="O22" i="55"/>
  <c r="N22" i="55"/>
  <c r="M22" i="55"/>
  <c r="L22" i="55"/>
  <c r="K22" i="55"/>
  <c r="H22" i="55"/>
  <c r="G22" i="55"/>
  <c r="F22" i="55"/>
  <c r="E22" i="55"/>
  <c r="D22" i="55"/>
  <c r="C22" i="55"/>
  <c r="A22" i="55"/>
  <c r="I22" i="55" s="1"/>
  <c r="J22" i="55" s="1"/>
  <c r="A21" i="55"/>
  <c r="B7" i="49" s="1"/>
  <c r="A17" i="55"/>
  <c r="D17" i="55" s="1"/>
  <c r="I15" i="55"/>
  <c r="Y14" i="55"/>
  <c r="L14" i="55"/>
  <c r="M14" i="55" s="1"/>
  <c r="M15" i="55" s="1"/>
  <c r="I14" i="55"/>
  <c r="Z13" i="55"/>
  <c r="Y13" i="55"/>
  <c r="I13" i="55"/>
  <c r="Z12" i="55"/>
  <c r="Y12" i="55"/>
  <c r="M12" i="55"/>
  <c r="I12" i="55"/>
  <c r="Z11" i="55"/>
  <c r="Z14" i="55" s="1"/>
  <c r="Y11" i="55"/>
  <c r="AD10" i="55"/>
  <c r="AD7" i="55" s="1"/>
  <c r="S36" i="55" s="1"/>
  <c r="W37" i="55" s="1"/>
  <c r="Q10" i="55"/>
  <c r="N10" i="55"/>
  <c r="H10" i="55"/>
  <c r="I10" i="55" s="1"/>
  <c r="AD9" i="55"/>
  <c r="T9" i="55"/>
  <c r="A41" i="55" s="1"/>
  <c r="I41" i="55" s="1"/>
  <c r="N9" i="55"/>
  <c r="L9" i="55"/>
  <c r="M9" i="55" s="1"/>
  <c r="M10" i="55" s="1"/>
  <c r="I9" i="55"/>
  <c r="A40" i="55"/>
  <c r="I40" i="55" s="1"/>
  <c r="Z7" i="55"/>
  <c r="Q7" i="55"/>
  <c r="N7" i="55"/>
  <c r="M7" i="55"/>
  <c r="I7" i="55"/>
  <c r="AC6" i="55"/>
  <c r="S28" i="55" s="1"/>
  <c r="W29" i="55" s="1"/>
  <c r="N6" i="55"/>
  <c r="Q4" i="55"/>
  <c r="H4" i="55"/>
  <c r="I2" i="55"/>
  <c r="L1" i="55"/>
  <c r="I1" i="55"/>
  <c r="C34" i="26"/>
  <c r="B34" i="26"/>
  <c r="A34" i="26"/>
  <c r="D33" i="26"/>
  <c r="C33" i="26"/>
  <c r="A33" i="26"/>
  <c r="Q60" i="60"/>
  <c r="P60" i="60"/>
  <c r="O60" i="60"/>
  <c r="N60" i="60"/>
  <c r="M60" i="60"/>
  <c r="L60" i="60"/>
  <c r="K60" i="60"/>
  <c r="I60" i="60"/>
  <c r="H60" i="60"/>
  <c r="G60" i="60"/>
  <c r="F60" i="60"/>
  <c r="E60" i="60"/>
  <c r="D60" i="60"/>
  <c r="C60" i="60"/>
  <c r="A60" i="60"/>
  <c r="I58" i="60"/>
  <c r="I57" i="60"/>
  <c r="P56" i="60"/>
  <c r="O56" i="60"/>
  <c r="N56" i="60"/>
  <c r="M56" i="60"/>
  <c r="L56" i="60"/>
  <c r="K56" i="60"/>
  <c r="I56" i="60"/>
  <c r="H56" i="60"/>
  <c r="G56" i="60"/>
  <c r="F56" i="60"/>
  <c r="E56" i="60"/>
  <c r="D56" i="60"/>
  <c r="C56" i="60"/>
  <c r="P55" i="60"/>
  <c r="O55" i="60"/>
  <c r="N55" i="60"/>
  <c r="M55" i="60"/>
  <c r="L55" i="60"/>
  <c r="K55" i="60"/>
  <c r="I55" i="60"/>
  <c r="H55" i="60"/>
  <c r="G55" i="60"/>
  <c r="F55" i="60"/>
  <c r="E55" i="60"/>
  <c r="D55" i="60"/>
  <c r="C55" i="60"/>
  <c r="Q54" i="60"/>
  <c r="Q52" i="60"/>
  <c r="I52" i="60"/>
  <c r="P51" i="60"/>
  <c r="O51" i="60"/>
  <c r="N51" i="60"/>
  <c r="M51" i="60"/>
  <c r="L51" i="60"/>
  <c r="K51" i="60"/>
  <c r="I51" i="60"/>
  <c r="H51" i="60"/>
  <c r="G51" i="60"/>
  <c r="F51" i="60"/>
  <c r="E51" i="60"/>
  <c r="D51" i="60"/>
  <c r="C51" i="60"/>
  <c r="Q50" i="60"/>
  <c r="I50" i="60"/>
  <c r="I49" i="60"/>
  <c r="P48" i="60"/>
  <c r="O48" i="60"/>
  <c r="N48" i="60"/>
  <c r="M48" i="60"/>
  <c r="L48" i="60"/>
  <c r="K48" i="60"/>
  <c r="I48" i="60"/>
  <c r="H48" i="60"/>
  <c r="G48" i="60"/>
  <c r="F48" i="60"/>
  <c r="E48" i="60"/>
  <c r="D48" i="60"/>
  <c r="Q48" i="60" s="1"/>
  <c r="C48" i="60"/>
  <c r="Q47" i="60"/>
  <c r="I47" i="60"/>
  <c r="Q46" i="60"/>
  <c r="R50" i="48" s="1"/>
  <c r="A46" i="60"/>
  <c r="A44" i="60"/>
  <c r="I44" i="60" s="1"/>
  <c r="A43" i="60"/>
  <c r="I43" i="60" s="1"/>
  <c r="I42" i="60"/>
  <c r="A42" i="60"/>
  <c r="I39" i="60"/>
  <c r="I38" i="60"/>
  <c r="I37" i="60"/>
  <c r="Q36" i="60"/>
  <c r="J31" i="34" s="1"/>
  <c r="I36" i="60"/>
  <c r="AJ35" i="60"/>
  <c r="AI35" i="60"/>
  <c r="AH35" i="60"/>
  <c r="AG35" i="60"/>
  <c r="AF35" i="60"/>
  <c r="AE35" i="60"/>
  <c r="AD35" i="60"/>
  <c r="AC35" i="60"/>
  <c r="AB35" i="60"/>
  <c r="AA35" i="60"/>
  <c r="Z35" i="60"/>
  <c r="Y35" i="60"/>
  <c r="Q35" i="60"/>
  <c r="I35" i="60"/>
  <c r="AJ34" i="60"/>
  <c r="AI34" i="60"/>
  <c r="AH34" i="60"/>
  <c r="AG34" i="60"/>
  <c r="AF34" i="60"/>
  <c r="AE34" i="60"/>
  <c r="AD34" i="60"/>
  <c r="AC34" i="60"/>
  <c r="AB34" i="60"/>
  <c r="AA34" i="60"/>
  <c r="Z34" i="60"/>
  <c r="Y34" i="60"/>
  <c r="Q34" i="60"/>
  <c r="I34" i="60"/>
  <c r="Q33" i="60"/>
  <c r="I33" i="60"/>
  <c r="Q32" i="60"/>
  <c r="I32" i="60"/>
  <c r="Q31" i="60"/>
  <c r="R23" i="48" s="1"/>
  <c r="I31" i="60"/>
  <c r="A30" i="60"/>
  <c r="I30" i="60" s="1"/>
  <c r="J30" i="60" s="1"/>
  <c r="P29" i="60"/>
  <c r="O29" i="60"/>
  <c r="N29" i="60"/>
  <c r="M29" i="60"/>
  <c r="L29" i="60"/>
  <c r="K29" i="60"/>
  <c r="H29" i="60"/>
  <c r="G29" i="60"/>
  <c r="F29" i="60"/>
  <c r="E29" i="60"/>
  <c r="D29" i="60"/>
  <c r="C29" i="60"/>
  <c r="A29" i="60"/>
  <c r="I29" i="60" s="1"/>
  <c r="J29" i="60" s="1"/>
  <c r="Q28" i="60"/>
  <c r="A28" i="60"/>
  <c r="I28" i="60" s="1"/>
  <c r="J28" i="60" s="1"/>
  <c r="P27" i="60"/>
  <c r="O27" i="60"/>
  <c r="N27" i="60"/>
  <c r="M27" i="60"/>
  <c r="M30" i="60" s="1"/>
  <c r="L27" i="60"/>
  <c r="K27" i="60"/>
  <c r="H27" i="60"/>
  <c r="H30" i="60" s="1"/>
  <c r="G27" i="60"/>
  <c r="F27" i="60"/>
  <c r="E27" i="60"/>
  <c r="D27" i="60"/>
  <c r="D30" i="60" s="1"/>
  <c r="C27" i="60"/>
  <c r="A27" i="60"/>
  <c r="B27" i="60" s="1"/>
  <c r="Q26" i="60"/>
  <c r="A26" i="60"/>
  <c r="I26" i="60" s="1"/>
  <c r="J26" i="60" s="1"/>
  <c r="Q25" i="60"/>
  <c r="I25" i="60"/>
  <c r="J25" i="60" s="1"/>
  <c r="Q24" i="60"/>
  <c r="A24" i="60"/>
  <c r="I24" i="60" s="1"/>
  <c r="J24" i="60" s="1"/>
  <c r="A23" i="60"/>
  <c r="I23" i="60" s="1"/>
  <c r="J23" i="60" s="1"/>
  <c r="P22" i="60"/>
  <c r="O22" i="60"/>
  <c r="N22" i="60"/>
  <c r="M22" i="60"/>
  <c r="L22" i="60"/>
  <c r="K22" i="60"/>
  <c r="H22" i="60"/>
  <c r="G22" i="60"/>
  <c r="F22" i="60"/>
  <c r="E22" i="60"/>
  <c r="D22" i="60"/>
  <c r="C22" i="60"/>
  <c r="A22" i="60"/>
  <c r="I22" i="60" s="1"/>
  <c r="J22" i="60" s="1"/>
  <c r="A21" i="60"/>
  <c r="I21" i="60" s="1"/>
  <c r="A17" i="60"/>
  <c r="D17" i="60" s="1"/>
  <c r="I15" i="60"/>
  <c r="Y14" i="60"/>
  <c r="L14" i="60"/>
  <c r="I14" i="60"/>
  <c r="Z13" i="60"/>
  <c r="Y13" i="60"/>
  <c r="I13" i="60"/>
  <c r="Z12" i="60"/>
  <c r="Y12" i="60"/>
  <c r="M12" i="60"/>
  <c r="I12" i="60"/>
  <c r="Z11" i="60"/>
  <c r="Y11" i="60"/>
  <c r="AD10" i="60"/>
  <c r="AD7" i="60" s="1"/>
  <c r="S36" i="60" s="1"/>
  <c r="W37" i="60" s="1"/>
  <c r="Q10" i="60"/>
  <c r="N10" i="60"/>
  <c r="H10" i="60"/>
  <c r="I8" i="60" s="1"/>
  <c r="AD9" i="60"/>
  <c r="T9" i="60"/>
  <c r="A41" i="60" s="1"/>
  <c r="I41" i="60" s="1"/>
  <c r="N9" i="60"/>
  <c r="L9" i="60"/>
  <c r="I9" i="60"/>
  <c r="A40" i="60"/>
  <c r="I40" i="60" s="1"/>
  <c r="Z7" i="60"/>
  <c r="Q7" i="60"/>
  <c r="N7" i="60"/>
  <c r="M7" i="60"/>
  <c r="I7" i="60"/>
  <c r="AC6" i="60"/>
  <c r="S28" i="60" s="1"/>
  <c r="W29" i="60" s="1"/>
  <c r="N6" i="60"/>
  <c r="Q4" i="60"/>
  <c r="H4" i="60"/>
  <c r="I2" i="60"/>
  <c r="L1" i="60"/>
  <c r="I1" i="60"/>
  <c r="C32" i="26"/>
  <c r="B32" i="26"/>
  <c r="A32" i="26"/>
  <c r="D31" i="26"/>
  <c r="C31" i="26"/>
  <c r="A31" i="26"/>
  <c r="Q60" i="59"/>
  <c r="P60" i="59"/>
  <c r="O60" i="59"/>
  <c r="N60" i="59"/>
  <c r="M60" i="59"/>
  <c r="L60" i="59"/>
  <c r="K60" i="59"/>
  <c r="H60" i="59"/>
  <c r="G60" i="59"/>
  <c r="F60" i="59"/>
  <c r="E60" i="59"/>
  <c r="D60" i="59"/>
  <c r="C60" i="59"/>
  <c r="A60" i="59"/>
  <c r="I60" i="59" s="1"/>
  <c r="I58" i="59"/>
  <c r="I57" i="59"/>
  <c r="P56" i="59"/>
  <c r="O56" i="59"/>
  <c r="N56" i="59"/>
  <c r="M56" i="59"/>
  <c r="L56" i="59"/>
  <c r="K56" i="59"/>
  <c r="I56" i="59"/>
  <c r="H56" i="59"/>
  <c r="G56" i="59"/>
  <c r="F56" i="59"/>
  <c r="E56" i="59"/>
  <c r="D56" i="59"/>
  <c r="C56" i="59"/>
  <c r="P55" i="59"/>
  <c r="O55" i="59"/>
  <c r="N55" i="59"/>
  <c r="M55" i="59"/>
  <c r="L55" i="59"/>
  <c r="K55" i="59"/>
  <c r="I55" i="59"/>
  <c r="H55" i="59"/>
  <c r="G55" i="59"/>
  <c r="F55" i="59"/>
  <c r="E55" i="59"/>
  <c r="D55" i="59"/>
  <c r="C55" i="59"/>
  <c r="Q54" i="59"/>
  <c r="Q52" i="59"/>
  <c r="I52" i="59"/>
  <c r="P51" i="59"/>
  <c r="O51" i="59"/>
  <c r="N51" i="59"/>
  <c r="M51" i="59"/>
  <c r="L51" i="59"/>
  <c r="K51" i="59"/>
  <c r="I51" i="59"/>
  <c r="H51" i="59"/>
  <c r="G51" i="59"/>
  <c r="F51" i="59"/>
  <c r="E51" i="59"/>
  <c r="D51" i="59"/>
  <c r="C51" i="59"/>
  <c r="Q50" i="59"/>
  <c r="I50" i="59"/>
  <c r="I49" i="59"/>
  <c r="P48" i="59"/>
  <c r="O48" i="59"/>
  <c r="N48" i="59"/>
  <c r="M48" i="59"/>
  <c r="L48" i="59"/>
  <c r="K48" i="59"/>
  <c r="I48" i="59"/>
  <c r="H48" i="59"/>
  <c r="G48" i="59"/>
  <c r="F48" i="59"/>
  <c r="E48" i="59"/>
  <c r="D48" i="59"/>
  <c r="Q48" i="59" s="1"/>
  <c r="C48" i="59"/>
  <c r="Q47" i="59"/>
  <c r="I47" i="59"/>
  <c r="Q46" i="59"/>
  <c r="R50" i="47" s="1"/>
  <c r="A46" i="59"/>
  <c r="I46" i="59" s="1"/>
  <c r="J46" i="59" s="1"/>
  <c r="A44" i="59"/>
  <c r="I44" i="59" s="1"/>
  <c r="A43" i="59"/>
  <c r="I43" i="59" s="1"/>
  <c r="A42" i="59"/>
  <c r="I42" i="59" s="1"/>
  <c r="I39" i="59"/>
  <c r="I38" i="59"/>
  <c r="I37" i="59"/>
  <c r="Q36" i="59"/>
  <c r="J29" i="34" s="1"/>
  <c r="I36" i="59"/>
  <c r="AJ35" i="59"/>
  <c r="AI35" i="59"/>
  <c r="AH35" i="59"/>
  <c r="AG35" i="59"/>
  <c r="AF35" i="59"/>
  <c r="AE35" i="59"/>
  <c r="AD35" i="59"/>
  <c r="AC35" i="59"/>
  <c r="AB35" i="59"/>
  <c r="AA35" i="59"/>
  <c r="Z35" i="59"/>
  <c r="Y35" i="59"/>
  <c r="Q35" i="59"/>
  <c r="I35" i="59"/>
  <c r="AJ34" i="59"/>
  <c r="AI34" i="59"/>
  <c r="AH34" i="59"/>
  <c r="AG34" i="59"/>
  <c r="AF34" i="59"/>
  <c r="AE34" i="59"/>
  <c r="AD34" i="59"/>
  <c r="AC34" i="59"/>
  <c r="AB34" i="59"/>
  <c r="AA34" i="59"/>
  <c r="Z34" i="59"/>
  <c r="Y34" i="59"/>
  <c r="Q34" i="59"/>
  <c r="I34" i="59"/>
  <c r="Q33" i="59"/>
  <c r="I33" i="59"/>
  <c r="Q32" i="59"/>
  <c r="I32" i="59"/>
  <c r="Q31" i="59"/>
  <c r="R23" i="47" s="1"/>
  <c r="I31" i="59"/>
  <c r="A30" i="59"/>
  <c r="B30" i="59" s="1"/>
  <c r="P29" i="59"/>
  <c r="O29" i="59"/>
  <c r="N29" i="59"/>
  <c r="M29" i="59"/>
  <c r="L29" i="59"/>
  <c r="K29" i="59"/>
  <c r="H29" i="59"/>
  <c r="G29" i="59"/>
  <c r="F29" i="59"/>
  <c r="E29" i="59"/>
  <c r="D29" i="59"/>
  <c r="C29" i="59"/>
  <c r="A29" i="59"/>
  <c r="I29" i="59" s="1"/>
  <c r="J29" i="59" s="1"/>
  <c r="Q28" i="59"/>
  <c r="A28" i="59"/>
  <c r="P27" i="59"/>
  <c r="P30" i="59" s="1"/>
  <c r="O27" i="59"/>
  <c r="N27" i="59"/>
  <c r="N30" i="59" s="1"/>
  <c r="M27" i="59"/>
  <c r="L27" i="59"/>
  <c r="K27" i="59"/>
  <c r="H27" i="59"/>
  <c r="G27" i="59"/>
  <c r="F27" i="59"/>
  <c r="E27" i="59"/>
  <c r="D27" i="59"/>
  <c r="D30" i="59" s="1"/>
  <c r="C27" i="59"/>
  <c r="A27" i="59"/>
  <c r="I27" i="59" s="1"/>
  <c r="J27" i="59" s="1"/>
  <c r="Q26" i="59"/>
  <c r="A26" i="59"/>
  <c r="I26" i="59" s="1"/>
  <c r="J26" i="59" s="1"/>
  <c r="Q25" i="59"/>
  <c r="Q24" i="59"/>
  <c r="A24" i="59"/>
  <c r="B24" i="59" s="1"/>
  <c r="A23" i="59"/>
  <c r="B23" i="59" s="1"/>
  <c r="P22" i="59"/>
  <c r="O22" i="59"/>
  <c r="N22" i="59"/>
  <c r="M22" i="59"/>
  <c r="L22" i="59"/>
  <c r="K22" i="59"/>
  <c r="H22" i="59"/>
  <c r="G22" i="59"/>
  <c r="F22" i="59"/>
  <c r="E22" i="59"/>
  <c r="D22" i="59"/>
  <c r="C22" i="59"/>
  <c r="A22" i="59"/>
  <c r="B22" i="59" s="1"/>
  <c r="A21" i="59"/>
  <c r="I21" i="59" s="1"/>
  <c r="A17" i="59"/>
  <c r="D17" i="59" s="1"/>
  <c r="I15" i="59"/>
  <c r="Y14" i="59"/>
  <c r="L14" i="59"/>
  <c r="K14" i="59" s="1"/>
  <c r="I14" i="59"/>
  <c r="Z13" i="59"/>
  <c r="Y13" i="59"/>
  <c r="I13" i="59"/>
  <c r="Z12" i="59"/>
  <c r="Y12" i="59"/>
  <c r="M12" i="59"/>
  <c r="I12" i="59"/>
  <c r="Z11" i="59"/>
  <c r="Y11" i="59"/>
  <c r="AD10" i="59"/>
  <c r="AD8" i="59" s="1"/>
  <c r="Q10" i="59"/>
  <c r="N10" i="59"/>
  <c r="H10" i="59"/>
  <c r="I10" i="59" s="1"/>
  <c r="AD9" i="59"/>
  <c r="T9" i="59"/>
  <c r="A41" i="59" s="1"/>
  <c r="I41" i="59" s="1"/>
  <c r="N9" i="59"/>
  <c r="L9" i="59"/>
  <c r="K9" i="59" s="1"/>
  <c r="I9" i="59"/>
  <c r="A40" i="59"/>
  <c r="I40" i="59" s="1"/>
  <c r="Z7" i="59"/>
  <c r="Q7" i="59"/>
  <c r="N7" i="59"/>
  <c r="M7" i="59"/>
  <c r="I7" i="59"/>
  <c r="AC6" i="59"/>
  <c r="S28" i="59" s="1"/>
  <c r="W29" i="59" s="1"/>
  <c r="N6" i="59"/>
  <c r="Q4" i="59"/>
  <c r="H4" i="59"/>
  <c r="I2" i="59"/>
  <c r="L1" i="59"/>
  <c r="I1" i="59"/>
  <c r="C30" i="26"/>
  <c r="B30" i="26"/>
  <c r="A30" i="26"/>
  <c r="D29" i="26"/>
  <c r="C29" i="26"/>
  <c r="A29" i="26"/>
  <c r="AE37" i="53" l="1"/>
  <c r="Z37" i="56"/>
  <c r="AH37" i="56"/>
  <c r="S36" i="54"/>
  <c r="W37" i="54" s="1"/>
  <c r="I8" i="59"/>
  <c r="Z37" i="60"/>
  <c r="AD37" i="56"/>
  <c r="AD37" i="60"/>
  <c r="B46" i="53"/>
  <c r="I24" i="59"/>
  <c r="J24" i="59" s="1"/>
  <c r="AC37" i="53"/>
  <c r="AJ37" i="59"/>
  <c r="N30" i="53"/>
  <c r="N37" i="53" s="1"/>
  <c r="H30" i="59"/>
  <c r="AD37" i="59" s="1"/>
  <c r="Z37" i="59"/>
  <c r="AH37" i="59"/>
  <c r="Y15" i="54"/>
  <c r="Y15" i="60"/>
  <c r="AD6" i="60"/>
  <c r="Y15" i="55"/>
  <c r="Y15" i="56"/>
  <c r="Y15" i="53"/>
  <c r="Y15" i="59"/>
  <c r="AG37" i="60"/>
  <c r="AD6" i="55"/>
  <c r="AD6" i="53"/>
  <c r="Y37" i="53"/>
  <c r="Y38" i="53" s="1"/>
  <c r="S31" i="59"/>
  <c r="W32" i="59" s="1"/>
  <c r="D30" i="54"/>
  <c r="Z37" i="54" s="1"/>
  <c r="H30" i="54"/>
  <c r="H37" i="54" s="1"/>
  <c r="H42" i="54" s="1"/>
  <c r="M30" i="54"/>
  <c r="AG37" i="54" s="1"/>
  <c r="I21" i="55"/>
  <c r="B7" i="50"/>
  <c r="AD6" i="56"/>
  <c r="AD8" i="53"/>
  <c r="AD8" i="60"/>
  <c r="AG7" i="53"/>
  <c r="S31" i="53"/>
  <c r="W32" i="53" s="1"/>
  <c r="AD7" i="59"/>
  <c r="S36" i="59" s="1"/>
  <c r="W37" i="59" s="1"/>
  <c r="AG7" i="55"/>
  <c r="S31" i="55"/>
  <c r="W32" i="55" s="1"/>
  <c r="AG7" i="56"/>
  <c r="S31" i="56"/>
  <c r="W32" i="56" s="1"/>
  <c r="AD6" i="54"/>
  <c r="AG7" i="54"/>
  <c r="S31" i="54"/>
  <c r="W32" i="54" s="1"/>
  <c r="AG7" i="60"/>
  <c r="S31" i="60"/>
  <c r="W32" i="60" s="1"/>
  <c r="AD8" i="55"/>
  <c r="AD8" i="56"/>
  <c r="G37" i="53"/>
  <c r="G42" i="53" s="1"/>
  <c r="I21" i="53"/>
  <c r="AD6" i="59"/>
  <c r="B22" i="55"/>
  <c r="B7" i="47"/>
  <c r="Q48" i="55"/>
  <c r="Q48" i="56"/>
  <c r="Z14" i="59"/>
  <c r="B27" i="59"/>
  <c r="B29" i="59"/>
  <c r="Z14" i="60"/>
  <c r="B22" i="60"/>
  <c r="B24" i="56"/>
  <c r="Z14" i="53"/>
  <c r="B27" i="53"/>
  <c r="AD8" i="54"/>
  <c r="B7" i="48"/>
  <c r="B7" i="52"/>
  <c r="I27" i="54"/>
  <c r="J27" i="54" s="1"/>
  <c r="Q48" i="54"/>
  <c r="I24" i="54"/>
  <c r="J24" i="54" s="1"/>
  <c r="Z14" i="54"/>
  <c r="I25" i="56"/>
  <c r="J25" i="56" s="1"/>
  <c r="D37" i="59"/>
  <c r="D42" i="59" s="1"/>
  <c r="B25" i="60"/>
  <c r="D37" i="60"/>
  <c r="D42" i="60" s="1"/>
  <c r="H37" i="60"/>
  <c r="H43" i="60" s="1"/>
  <c r="B30" i="60"/>
  <c r="B25" i="55"/>
  <c r="B28" i="55"/>
  <c r="I22" i="59"/>
  <c r="J22" i="59" s="1"/>
  <c r="B24" i="60"/>
  <c r="B30" i="55"/>
  <c r="D37" i="56"/>
  <c r="D43" i="56" s="1"/>
  <c r="H37" i="56"/>
  <c r="H43" i="56" s="1"/>
  <c r="B23" i="53"/>
  <c r="I25" i="53"/>
  <c r="J25" i="53" s="1"/>
  <c r="L30" i="56"/>
  <c r="L37" i="56" s="1"/>
  <c r="L42" i="56" s="1"/>
  <c r="P30" i="56"/>
  <c r="P37" i="56" s="1"/>
  <c r="L30" i="54"/>
  <c r="AF37" i="54" s="1"/>
  <c r="M30" i="56"/>
  <c r="AG37" i="56" s="1"/>
  <c r="L30" i="53"/>
  <c r="AF37" i="53" s="1"/>
  <c r="P30" i="53"/>
  <c r="AJ37" i="53" s="1"/>
  <c r="K30" i="55"/>
  <c r="K37" i="55" s="1"/>
  <c r="K42" i="55" s="1"/>
  <c r="O30" i="55"/>
  <c r="AI37" i="55" s="1"/>
  <c r="Q56" i="56"/>
  <c r="Q56" i="53"/>
  <c r="Q56" i="54"/>
  <c r="U2" i="60"/>
  <c r="S33" i="60" s="1"/>
  <c r="W34" i="60" s="1"/>
  <c r="U2" i="55"/>
  <c r="S33" i="55" s="1"/>
  <c r="W34" i="55" s="1"/>
  <c r="B26" i="59"/>
  <c r="B26" i="55"/>
  <c r="B26" i="54"/>
  <c r="B29" i="54"/>
  <c r="I10" i="60"/>
  <c r="B26" i="60"/>
  <c r="B28" i="60"/>
  <c r="B29" i="60"/>
  <c r="I8" i="55"/>
  <c r="I27" i="55"/>
  <c r="J27" i="55" s="1"/>
  <c r="I10" i="56"/>
  <c r="B26" i="56"/>
  <c r="I8" i="54"/>
  <c r="B29" i="56"/>
  <c r="I28" i="53"/>
  <c r="J28" i="53" s="1"/>
  <c r="K9" i="55"/>
  <c r="C30" i="55"/>
  <c r="C37" i="55" s="1"/>
  <c r="G30" i="55"/>
  <c r="G37" i="55" s="1"/>
  <c r="G43" i="55" s="1"/>
  <c r="K9" i="53"/>
  <c r="K14" i="53"/>
  <c r="M30" i="55"/>
  <c r="AG37" i="55" s="1"/>
  <c r="B23" i="56"/>
  <c r="B23" i="55"/>
  <c r="Q23" i="60"/>
  <c r="P30" i="54"/>
  <c r="P37" i="54" s="1"/>
  <c r="Q51" i="54"/>
  <c r="Q56" i="55"/>
  <c r="Q29" i="53"/>
  <c r="O30" i="53"/>
  <c r="O37" i="53" s="1"/>
  <c r="Y36" i="53"/>
  <c r="Z36" i="53" s="1"/>
  <c r="AA36" i="53" s="1"/>
  <c r="AB36" i="53" s="1"/>
  <c r="AC36" i="53" s="1"/>
  <c r="K30" i="56"/>
  <c r="K37" i="56" s="1"/>
  <c r="O30" i="56"/>
  <c r="O37" i="56" s="1"/>
  <c r="C30" i="56"/>
  <c r="G30" i="56"/>
  <c r="AC37" i="56" s="1"/>
  <c r="Q23" i="55"/>
  <c r="N30" i="55"/>
  <c r="N37" i="55" s="1"/>
  <c r="N43" i="55" s="1"/>
  <c r="Q29" i="55"/>
  <c r="F30" i="55"/>
  <c r="F37" i="55" s="1"/>
  <c r="P30" i="55"/>
  <c r="P37" i="55" s="1"/>
  <c r="H30" i="55"/>
  <c r="H37" i="55" s="1"/>
  <c r="Q27" i="54"/>
  <c r="Y36" i="54"/>
  <c r="M9" i="54"/>
  <c r="M10" i="54" s="1"/>
  <c r="K9" i="54"/>
  <c r="M14" i="54"/>
  <c r="M15" i="54" s="1"/>
  <c r="K14" i="54"/>
  <c r="E30" i="54"/>
  <c r="AA37" i="54" s="1"/>
  <c r="N30" i="54"/>
  <c r="AH37" i="54" s="1"/>
  <c r="Q22" i="54"/>
  <c r="Q23" i="54"/>
  <c r="Q29" i="54"/>
  <c r="Q51" i="56"/>
  <c r="Q58" i="56"/>
  <c r="Q51" i="53"/>
  <c r="B23" i="54"/>
  <c r="I25" i="54"/>
  <c r="J25" i="54" s="1"/>
  <c r="I28" i="54"/>
  <c r="J28" i="54" s="1"/>
  <c r="C30" i="54"/>
  <c r="Y37" i="54" s="1"/>
  <c r="G30" i="54"/>
  <c r="G37" i="54" s="1"/>
  <c r="K30" i="54"/>
  <c r="K37" i="54" s="1"/>
  <c r="O30" i="54"/>
  <c r="O37" i="54" s="1"/>
  <c r="I22" i="54"/>
  <c r="J22" i="54" s="1"/>
  <c r="I30" i="54"/>
  <c r="J30" i="54" s="1"/>
  <c r="B46" i="54"/>
  <c r="Q58" i="53"/>
  <c r="U2" i="54"/>
  <c r="S33" i="54" s="1"/>
  <c r="W34" i="54" s="1"/>
  <c r="F30" i="54"/>
  <c r="F37" i="54" s="1"/>
  <c r="I8" i="53"/>
  <c r="Q22" i="53"/>
  <c r="I26" i="53"/>
  <c r="J26" i="53" s="1"/>
  <c r="B26" i="53"/>
  <c r="Q27" i="53"/>
  <c r="M30" i="53"/>
  <c r="AG37" i="53" s="1"/>
  <c r="D30" i="53"/>
  <c r="D37" i="53" s="1"/>
  <c r="H30" i="53"/>
  <c r="H37" i="53" s="1"/>
  <c r="K37" i="53"/>
  <c r="I29" i="53"/>
  <c r="J29" i="53" s="1"/>
  <c r="Q23" i="53"/>
  <c r="I24" i="53"/>
  <c r="J24" i="53" s="1"/>
  <c r="B24" i="53"/>
  <c r="C37" i="53"/>
  <c r="I22" i="53"/>
  <c r="J22" i="53" s="1"/>
  <c r="E30" i="53"/>
  <c r="E37" i="53" s="1"/>
  <c r="I30" i="53"/>
  <c r="J30" i="53" s="1"/>
  <c r="U2" i="53"/>
  <c r="S33" i="53" s="1"/>
  <c r="W34" i="53" s="1"/>
  <c r="F30" i="53"/>
  <c r="F37" i="53" s="1"/>
  <c r="M9" i="56"/>
  <c r="M10" i="56" s="1"/>
  <c r="K9" i="56"/>
  <c r="Q22" i="56"/>
  <c r="E30" i="56"/>
  <c r="E37" i="56" s="1"/>
  <c r="I27" i="56"/>
  <c r="J27" i="56" s="1"/>
  <c r="I46" i="56"/>
  <c r="J46" i="56" s="1"/>
  <c r="B46" i="56"/>
  <c r="M14" i="56"/>
  <c r="M15" i="56" s="1"/>
  <c r="K14" i="56"/>
  <c r="Q23" i="56"/>
  <c r="Q27" i="56"/>
  <c r="Y36" i="56"/>
  <c r="I28" i="56"/>
  <c r="J28" i="56" s="1"/>
  <c r="Q29" i="56"/>
  <c r="I22" i="56"/>
  <c r="J22" i="56" s="1"/>
  <c r="I30" i="56"/>
  <c r="J30" i="56" s="1"/>
  <c r="N37" i="56"/>
  <c r="Q58" i="55"/>
  <c r="U2" i="56"/>
  <c r="S33" i="56" s="1"/>
  <c r="W34" i="56" s="1"/>
  <c r="F30" i="56"/>
  <c r="F37" i="56" s="1"/>
  <c r="Q27" i="55"/>
  <c r="Y36" i="55"/>
  <c r="I46" i="55"/>
  <c r="J46" i="55" s="1"/>
  <c r="B46" i="55"/>
  <c r="Q51" i="55"/>
  <c r="E30" i="55"/>
  <c r="E37" i="55" s="1"/>
  <c r="I29" i="55"/>
  <c r="J29" i="55" s="1"/>
  <c r="K14" i="55"/>
  <c r="Q22" i="55"/>
  <c r="B24" i="55"/>
  <c r="D30" i="55"/>
  <c r="D37" i="55" s="1"/>
  <c r="L30" i="55"/>
  <c r="L37" i="55" s="1"/>
  <c r="Q56" i="60"/>
  <c r="N30" i="60"/>
  <c r="AH37" i="60" s="1"/>
  <c r="P30" i="60"/>
  <c r="P37" i="60" s="1"/>
  <c r="Q27" i="60"/>
  <c r="L30" i="60"/>
  <c r="L37" i="60" s="1"/>
  <c r="Q51" i="60"/>
  <c r="Q58" i="60"/>
  <c r="Y36" i="60"/>
  <c r="M37" i="60"/>
  <c r="M9" i="60"/>
  <c r="M10" i="60" s="1"/>
  <c r="K9" i="60"/>
  <c r="Q29" i="60"/>
  <c r="I46" i="60"/>
  <c r="J46" i="60" s="1"/>
  <c r="B46" i="60"/>
  <c r="M14" i="60"/>
  <c r="M15" i="60" s="1"/>
  <c r="K14" i="60"/>
  <c r="Q22" i="60"/>
  <c r="E30" i="60"/>
  <c r="E37" i="60" s="1"/>
  <c r="I27" i="60"/>
  <c r="J27" i="60" s="1"/>
  <c r="B23" i="60"/>
  <c r="C30" i="60"/>
  <c r="Y37" i="60" s="1"/>
  <c r="G30" i="60"/>
  <c r="G37" i="60" s="1"/>
  <c r="K30" i="60"/>
  <c r="K37" i="60" s="1"/>
  <c r="O30" i="60"/>
  <c r="O37" i="60" s="1"/>
  <c r="F30" i="60"/>
  <c r="F37" i="60" s="1"/>
  <c r="Q27" i="59"/>
  <c r="Q56" i="59"/>
  <c r="P37" i="59"/>
  <c r="P42" i="59" s="1"/>
  <c r="E30" i="59"/>
  <c r="E37" i="59" s="1"/>
  <c r="E43" i="59" s="1"/>
  <c r="Q29" i="59"/>
  <c r="L30" i="59"/>
  <c r="L37" i="59" s="1"/>
  <c r="N37" i="59"/>
  <c r="N42" i="59" s="1"/>
  <c r="M30" i="59"/>
  <c r="M37" i="59" s="1"/>
  <c r="Q22" i="59"/>
  <c r="Q58" i="59"/>
  <c r="AG7" i="59"/>
  <c r="U2" i="59"/>
  <c r="S33" i="59" s="1"/>
  <c r="W34" i="59" s="1"/>
  <c r="B25" i="59"/>
  <c r="I25" i="59"/>
  <c r="J25" i="59" s="1"/>
  <c r="F30" i="59"/>
  <c r="F37" i="59" s="1"/>
  <c r="B28" i="59"/>
  <c r="I28" i="59"/>
  <c r="J28" i="59" s="1"/>
  <c r="Y36" i="59"/>
  <c r="B46" i="59"/>
  <c r="Q51" i="59"/>
  <c r="M14" i="59"/>
  <c r="M15" i="59" s="1"/>
  <c r="M9" i="59"/>
  <c r="M10" i="59" s="1"/>
  <c r="Q23" i="59"/>
  <c r="I30" i="59"/>
  <c r="J30" i="59" s="1"/>
  <c r="I23" i="59"/>
  <c r="J23" i="59" s="1"/>
  <c r="C30" i="59"/>
  <c r="C37" i="59" s="1"/>
  <c r="G30" i="59"/>
  <c r="G37" i="59" s="1"/>
  <c r="K30" i="59"/>
  <c r="K37" i="59" s="1"/>
  <c r="O30" i="59"/>
  <c r="AI37" i="59" s="1"/>
  <c r="Q60" i="58"/>
  <c r="P60" i="58"/>
  <c r="O60" i="58"/>
  <c r="N60" i="58"/>
  <c r="M60" i="58"/>
  <c r="L60" i="58"/>
  <c r="K60" i="58"/>
  <c r="H60" i="58"/>
  <c r="G60" i="58"/>
  <c r="F60" i="58"/>
  <c r="E60" i="58"/>
  <c r="D60" i="58"/>
  <c r="C60" i="58"/>
  <c r="A60" i="58"/>
  <c r="I60" i="58" s="1"/>
  <c r="I58" i="58"/>
  <c r="I57" i="58"/>
  <c r="P56" i="58"/>
  <c r="O56" i="58"/>
  <c r="N56" i="58"/>
  <c r="M56" i="58"/>
  <c r="L56" i="58"/>
  <c r="K56" i="58"/>
  <c r="I56" i="58"/>
  <c r="H56" i="58"/>
  <c r="G56" i="58"/>
  <c r="F56" i="58"/>
  <c r="E56" i="58"/>
  <c r="D56" i="58"/>
  <c r="C56" i="58"/>
  <c r="P55" i="58"/>
  <c r="O55" i="58"/>
  <c r="N55" i="58"/>
  <c r="M55" i="58"/>
  <c r="L55" i="58"/>
  <c r="K55" i="58"/>
  <c r="I55" i="58"/>
  <c r="H55" i="58"/>
  <c r="G55" i="58"/>
  <c r="F55" i="58"/>
  <c r="E55" i="58"/>
  <c r="D55" i="58"/>
  <c r="C55" i="58"/>
  <c r="Q54" i="58"/>
  <c r="Q52" i="58"/>
  <c r="I52" i="58"/>
  <c r="P51" i="58"/>
  <c r="O51" i="58"/>
  <c r="N51" i="58"/>
  <c r="M51" i="58"/>
  <c r="L51" i="58"/>
  <c r="K51" i="58"/>
  <c r="I51" i="58"/>
  <c r="H51" i="58"/>
  <c r="G51" i="58"/>
  <c r="F51" i="58"/>
  <c r="E51" i="58"/>
  <c r="D51" i="58"/>
  <c r="C51" i="58"/>
  <c r="Q50" i="58"/>
  <c r="I50" i="58"/>
  <c r="I49" i="58"/>
  <c r="P48" i="58"/>
  <c r="O48" i="58"/>
  <c r="N48" i="58"/>
  <c r="M48" i="58"/>
  <c r="L48" i="58"/>
  <c r="K48" i="58"/>
  <c r="I48" i="58"/>
  <c r="H48" i="58"/>
  <c r="G48" i="58"/>
  <c r="F48" i="58"/>
  <c r="E48" i="58"/>
  <c r="D48" i="58"/>
  <c r="C48" i="58"/>
  <c r="Q48" i="58" s="1"/>
  <c r="Q47" i="58"/>
  <c r="I47" i="58"/>
  <c r="Q46" i="58"/>
  <c r="R50" i="46" s="1"/>
  <c r="A46" i="58"/>
  <c r="I46" i="58" s="1"/>
  <c r="J46" i="58" s="1"/>
  <c r="I44" i="58"/>
  <c r="A44" i="58"/>
  <c r="I43" i="58"/>
  <c r="A43" i="58"/>
  <c r="A42" i="58"/>
  <c r="I42" i="58" s="1"/>
  <c r="I39" i="58"/>
  <c r="I38" i="58"/>
  <c r="I37" i="58"/>
  <c r="Q36" i="58"/>
  <c r="J27" i="34" s="1"/>
  <c r="I36" i="58"/>
  <c r="AJ35" i="58"/>
  <c r="AI35" i="58"/>
  <c r="AH35" i="58"/>
  <c r="AG35" i="58"/>
  <c r="AF35" i="58"/>
  <c r="AE35" i="58"/>
  <c r="AD35" i="58"/>
  <c r="AC35" i="58"/>
  <c r="AB35" i="58"/>
  <c r="AA35" i="58"/>
  <c r="Z35" i="58"/>
  <c r="Y35" i="58"/>
  <c r="Q35" i="58"/>
  <c r="I35" i="58"/>
  <c r="AJ34" i="58"/>
  <c r="AI34" i="58"/>
  <c r="AH34" i="58"/>
  <c r="AG34" i="58"/>
  <c r="AF34" i="58"/>
  <c r="AE34" i="58"/>
  <c r="AD34" i="58"/>
  <c r="AC34" i="58"/>
  <c r="AB34" i="58"/>
  <c r="AA34" i="58"/>
  <c r="Z34" i="58"/>
  <c r="Y34" i="58"/>
  <c r="Q34" i="58"/>
  <c r="I34" i="58"/>
  <c r="Q33" i="58"/>
  <c r="I33" i="58"/>
  <c r="Q32" i="58"/>
  <c r="I32" i="58"/>
  <c r="Q31" i="58"/>
  <c r="R23" i="46" s="1"/>
  <c r="I31" i="58"/>
  <c r="A30" i="58"/>
  <c r="B30" i="58" s="1"/>
  <c r="P29" i="58"/>
  <c r="O29" i="58"/>
  <c r="N29" i="58"/>
  <c r="M29" i="58"/>
  <c r="L29" i="58"/>
  <c r="K29" i="58"/>
  <c r="H29" i="58"/>
  <c r="G29" i="58"/>
  <c r="F29" i="58"/>
  <c r="E29" i="58"/>
  <c r="D29" i="58"/>
  <c r="C29" i="58"/>
  <c r="A29" i="58"/>
  <c r="B29" i="58" s="1"/>
  <c r="Q28" i="58"/>
  <c r="A28" i="58"/>
  <c r="B28" i="58" s="1"/>
  <c r="P27" i="58"/>
  <c r="P30" i="58" s="1"/>
  <c r="O27" i="58"/>
  <c r="N27" i="58"/>
  <c r="N30" i="58" s="1"/>
  <c r="M27" i="58"/>
  <c r="L27" i="58"/>
  <c r="L30" i="58" s="1"/>
  <c r="K27" i="58"/>
  <c r="H27" i="58"/>
  <c r="G27" i="58"/>
  <c r="F27" i="58"/>
  <c r="E27" i="58"/>
  <c r="D27" i="58"/>
  <c r="C27" i="58"/>
  <c r="A27" i="58"/>
  <c r="I27" i="58" s="1"/>
  <c r="J27" i="58" s="1"/>
  <c r="Q26" i="58"/>
  <c r="A26" i="58"/>
  <c r="Q25" i="58"/>
  <c r="B25" i="58"/>
  <c r="Q24" i="58"/>
  <c r="A24" i="58"/>
  <c r="A23" i="58"/>
  <c r="I23" i="58" s="1"/>
  <c r="J23" i="58" s="1"/>
  <c r="P22" i="58"/>
  <c r="O22" i="58"/>
  <c r="N22" i="58"/>
  <c r="M22" i="58"/>
  <c r="L22" i="58"/>
  <c r="K22" i="58"/>
  <c r="H22" i="58"/>
  <c r="G22" i="58"/>
  <c r="F22" i="58"/>
  <c r="E22" i="58"/>
  <c r="D22" i="58"/>
  <c r="C22" i="58"/>
  <c r="A22" i="58"/>
  <c r="B22" i="58" s="1"/>
  <c r="A21" i="58"/>
  <c r="B7" i="46" s="1"/>
  <c r="A17" i="58"/>
  <c r="D17" i="58" s="1"/>
  <c r="I15" i="58"/>
  <c r="Y14" i="58"/>
  <c r="L14" i="58"/>
  <c r="K14" i="58" s="1"/>
  <c r="I14" i="58"/>
  <c r="Z13" i="58"/>
  <c r="Z14" i="58" s="1"/>
  <c r="Y13" i="58"/>
  <c r="I13" i="58"/>
  <c r="Z12" i="58"/>
  <c r="Y12" i="58"/>
  <c r="M12" i="58"/>
  <c r="I12" i="58"/>
  <c r="Z11" i="58"/>
  <c r="Y11" i="58"/>
  <c r="AD10" i="58"/>
  <c r="AD7" i="58" s="1"/>
  <c r="S36" i="58" s="1"/>
  <c r="W37" i="58" s="1"/>
  <c r="Q10" i="58"/>
  <c r="N10" i="58"/>
  <c r="H10" i="58"/>
  <c r="I10" i="58" s="1"/>
  <c r="AD9" i="58"/>
  <c r="T9" i="58"/>
  <c r="A41" i="58" s="1"/>
  <c r="I41" i="58" s="1"/>
  <c r="N9" i="58"/>
  <c r="L9" i="58"/>
  <c r="M9" i="58" s="1"/>
  <c r="M10" i="58" s="1"/>
  <c r="I9" i="58"/>
  <c r="A40" i="58"/>
  <c r="I40" i="58" s="1"/>
  <c r="Z7" i="58"/>
  <c r="Q7" i="58"/>
  <c r="N7" i="58"/>
  <c r="M7" i="58"/>
  <c r="I7" i="58"/>
  <c r="AC6" i="58"/>
  <c r="S28" i="58" s="1"/>
  <c r="W29" i="58" s="1"/>
  <c r="N6" i="58"/>
  <c r="Q4" i="58"/>
  <c r="H4" i="58"/>
  <c r="I2" i="58"/>
  <c r="L1" i="58"/>
  <c r="I1" i="58"/>
  <c r="D27" i="26"/>
  <c r="C28" i="26"/>
  <c r="C26" i="26"/>
  <c r="B26" i="26"/>
  <c r="A26" i="26"/>
  <c r="D25" i="26"/>
  <c r="C25" i="26"/>
  <c r="A25" i="26"/>
  <c r="AH37" i="53" l="1"/>
  <c r="H37" i="59"/>
  <c r="H43" i="59" s="1"/>
  <c r="D43" i="59"/>
  <c r="AJ37" i="58"/>
  <c r="AH37" i="58"/>
  <c r="H42" i="60"/>
  <c r="H42" i="56"/>
  <c r="K30" i="58"/>
  <c r="AE37" i="58" s="1"/>
  <c r="K9" i="58"/>
  <c r="Z37" i="53"/>
  <c r="Z38" i="53" s="1"/>
  <c r="AF37" i="60"/>
  <c r="AJ37" i="55"/>
  <c r="AB37" i="55"/>
  <c r="D37" i="54"/>
  <c r="D42" i="54" s="1"/>
  <c r="AA37" i="53"/>
  <c r="AD37" i="53"/>
  <c r="AJ37" i="56"/>
  <c r="AA37" i="60"/>
  <c r="Y37" i="59"/>
  <c r="Y38" i="59" s="1"/>
  <c r="Z38" i="59" s="1"/>
  <c r="AE37" i="55"/>
  <c r="P37" i="53"/>
  <c r="P42" i="53" s="1"/>
  <c r="AB37" i="56"/>
  <c r="AI37" i="53"/>
  <c r="AF37" i="55"/>
  <c r="AE37" i="60"/>
  <c r="Y38" i="60"/>
  <c r="Y40" i="60" s="1"/>
  <c r="AJ37" i="60"/>
  <c r="AA37" i="56"/>
  <c r="AH37" i="55"/>
  <c r="AD37" i="55"/>
  <c r="AB37" i="60"/>
  <c r="Z37" i="55"/>
  <c r="Y37" i="56"/>
  <c r="Y38" i="56" s="1"/>
  <c r="AE37" i="59"/>
  <c r="AC37" i="59"/>
  <c r="AF37" i="59"/>
  <c r="Y15" i="58"/>
  <c r="AF37" i="58"/>
  <c r="AA37" i="55"/>
  <c r="AB37" i="59"/>
  <c r="AC37" i="55"/>
  <c r="AI37" i="56"/>
  <c r="S31" i="58"/>
  <c r="W32" i="58" s="1"/>
  <c r="AB37" i="53"/>
  <c r="AA37" i="59"/>
  <c r="AI37" i="60"/>
  <c r="AG37" i="59"/>
  <c r="Y37" i="55"/>
  <c r="Y38" i="55" s="1"/>
  <c r="Y40" i="55" s="1"/>
  <c r="AF37" i="56"/>
  <c r="AE37" i="56"/>
  <c r="AC37" i="60"/>
  <c r="AE37" i="54"/>
  <c r="AD37" i="54"/>
  <c r="AJ37" i="54"/>
  <c r="M37" i="54"/>
  <c r="M42" i="54" s="1"/>
  <c r="AB37" i="54"/>
  <c r="AC37" i="54"/>
  <c r="AI37" i="54"/>
  <c r="N37" i="54"/>
  <c r="N43" i="54" s="1"/>
  <c r="I21" i="58"/>
  <c r="D43" i="60"/>
  <c r="G42" i="55"/>
  <c r="AD8" i="58"/>
  <c r="AD6" i="58"/>
  <c r="D42" i="56"/>
  <c r="G43" i="53"/>
  <c r="L37" i="53"/>
  <c r="L42" i="53" s="1"/>
  <c r="C37" i="56"/>
  <c r="C43" i="56" s="1"/>
  <c r="Y40" i="53"/>
  <c r="Y42" i="53" s="1"/>
  <c r="C38" i="53" s="1"/>
  <c r="C39" i="53" s="1"/>
  <c r="C45" i="53" s="1"/>
  <c r="I29" i="58"/>
  <c r="J29" i="58" s="1"/>
  <c r="B23" i="58"/>
  <c r="I25" i="58"/>
  <c r="J25" i="58" s="1"/>
  <c r="H42" i="59"/>
  <c r="L37" i="54"/>
  <c r="L42" i="54" s="1"/>
  <c r="H43" i="54"/>
  <c r="P43" i="56"/>
  <c r="P42" i="56"/>
  <c r="B46" i="58"/>
  <c r="N37" i="60"/>
  <c r="N43" i="60" s="1"/>
  <c r="C30" i="58"/>
  <c r="C37" i="58" s="1"/>
  <c r="G30" i="58"/>
  <c r="G37" i="58" s="1"/>
  <c r="G42" i="58" s="1"/>
  <c r="M37" i="56"/>
  <c r="M42" i="56" s="1"/>
  <c r="O37" i="55"/>
  <c r="O42" i="55" s="1"/>
  <c r="M37" i="53"/>
  <c r="M42" i="53" s="1"/>
  <c r="K43" i="55"/>
  <c r="Q56" i="58"/>
  <c r="Q30" i="54"/>
  <c r="E37" i="54"/>
  <c r="E43" i="54" s="1"/>
  <c r="O30" i="58"/>
  <c r="AI37" i="58" s="1"/>
  <c r="G37" i="56"/>
  <c r="G42" i="56" s="1"/>
  <c r="I28" i="58"/>
  <c r="J28" i="58" s="1"/>
  <c r="B27" i="58"/>
  <c r="M14" i="58"/>
  <c r="M15" i="58" s="1"/>
  <c r="M37" i="55"/>
  <c r="M42" i="55" s="1"/>
  <c r="Y38" i="54"/>
  <c r="Z38" i="54" s="1"/>
  <c r="AA38" i="54" s="1"/>
  <c r="Q29" i="58"/>
  <c r="O37" i="59"/>
  <c r="O42" i="59" s="1"/>
  <c r="N42" i="55"/>
  <c r="N43" i="59"/>
  <c r="E42" i="59"/>
  <c r="P43" i="54"/>
  <c r="P42" i="54"/>
  <c r="O42" i="53"/>
  <c r="O43" i="53"/>
  <c r="L43" i="56"/>
  <c r="O43" i="56"/>
  <c r="O42" i="56"/>
  <c r="K42" i="56"/>
  <c r="K43" i="56"/>
  <c r="P42" i="55"/>
  <c r="P43" i="55"/>
  <c r="H43" i="55"/>
  <c r="H42" i="55"/>
  <c r="F42" i="55"/>
  <c r="F43" i="55"/>
  <c r="K42" i="54"/>
  <c r="K43" i="54"/>
  <c r="F42" i="54"/>
  <c r="F43" i="54"/>
  <c r="G42" i="54"/>
  <c r="G43" i="54"/>
  <c r="O42" i="54"/>
  <c r="O43" i="54"/>
  <c r="Z36" i="54"/>
  <c r="AA36" i="54" s="1"/>
  <c r="AB36" i="54" s="1"/>
  <c r="AC36" i="54" s="1"/>
  <c r="C37" i="54"/>
  <c r="F42" i="53"/>
  <c r="F43" i="53"/>
  <c r="E42" i="53"/>
  <c r="E43" i="53"/>
  <c r="AD36" i="53"/>
  <c r="N42" i="53"/>
  <c r="N43" i="53"/>
  <c r="C42" i="53"/>
  <c r="C43" i="53"/>
  <c r="H43" i="53"/>
  <c r="H42" i="53"/>
  <c r="Q30" i="53"/>
  <c r="K42" i="53"/>
  <c r="K43" i="53"/>
  <c r="D43" i="53"/>
  <c r="D42" i="53"/>
  <c r="F42" i="56"/>
  <c r="F43" i="56"/>
  <c r="N43" i="56"/>
  <c r="N42" i="56"/>
  <c r="E43" i="56"/>
  <c r="E42" i="56"/>
  <c r="Q30" i="56"/>
  <c r="Z36" i="56"/>
  <c r="AA36" i="56" s="1"/>
  <c r="AB36" i="56" s="1"/>
  <c r="AC36" i="56" s="1"/>
  <c r="L42" i="55"/>
  <c r="L43" i="55"/>
  <c r="D43" i="55"/>
  <c r="D42" i="55"/>
  <c r="C42" i="55"/>
  <c r="C43" i="55"/>
  <c r="Q30" i="55"/>
  <c r="E43" i="55"/>
  <c r="E42" i="55"/>
  <c r="Z36" i="55"/>
  <c r="AA36" i="55" s="1"/>
  <c r="AB36" i="55" s="1"/>
  <c r="AC36" i="55" s="1"/>
  <c r="L42" i="60"/>
  <c r="L43" i="60"/>
  <c r="P42" i="60"/>
  <c r="P43" i="60"/>
  <c r="F42" i="60"/>
  <c r="F43" i="60"/>
  <c r="O42" i="60"/>
  <c r="O43" i="60"/>
  <c r="K42" i="60"/>
  <c r="K43" i="60"/>
  <c r="G42" i="60"/>
  <c r="G43" i="60"/>
  <c r="E43" i="60"/>
  <c r="E42" i="60"/>
  <c r="M43" i="60"/>
  <c r="M42" i="60"/>
  <c r="Q30" i="60"/>
  <c r="C37" i="60"/>
  <c r="Z36" i="60"/>
  <c r="AA36" i="60" s="1"/>
  <c r="AB36" i="60" s="1"/>
  <c r="AC36" i="60" s="1"/>
  <c r="L42" i="59"/>
  <c r="L43" i="59"/>
  <c r="M43" i="59"/>
  <c r="M42" i="59"/>
  <c r="P43" i="59"/>
  <c r="G42" i="59"/>
  <c r="G43" i="59"/>
  <c r="K42" i="59"/>
  <c r="K43" i="59"/>
  <c r="F43" i="59"/>
  <c r="F42" i="59"/>
  <c r="Z36" i="59"/>
  <c r="AA36" i="59" s="1"/>
  <c r="AB36" i="59" s="1"/>
  <c r="AC36" i="59" s="1"/>
  <c r="C42" i="59"/>
  <c r="C43" i="59"/>
  <c r="Q30" i="59"/>
  <c r="Q58" i="58"/>
  <c r="Q22" i="58"/>
  <c r="Y36" i="58"/>
  <c r="Z36" i="58" s="1"/>
  <c r="AA36" i="58" s="1"/>
  <c r="AB36" i="58" s="1"/>
  <c r="AC36" i="58" s="1"/>
  <c r="I26" i="58"/>
  <c r="J26" i="58" s="1"/>
  <c r="B26" i="58"/>
  <c r="Q27" i="58"/>
  <c r="M30" i="58"/>
  <c r="AG37" i="58" s="1"/>
  <c r="D30" i="58"/>
  <c r="Z37" i="58" s="1"/>
  <c r="Q23" i="58"/>
  <c r="L37" i="58"/>
  <c r="H30" i="58"/>
  <c r="H37" i="58" s="1"/>
  <c r="AG7" i="58"/>
  <c r="U2" i="58"/>
  <c r="S33" i="58" s="1"/>
  <c r="W34" i="58" s="1"/>
  <c r="I8" i="58"/>
  <c r="I24" i="58"/>
  <c r="J24" i="58" s="1"/>
  <c r="B24" i="58"/>
  <c r="P37" i="58"/>
  <c r="Q51" i="58"/>
  <c r="I22" i="58"/>
  <c r="J22" i="58" s="1"/>
  <c r="E30" i="58"/>
  <c r="E37" i="58" s="1"/>
  <c r="I30" i="58"/>
  <c r="J30" i="58" s="1"/>
  <c r="N37" i="58"/>
  <c r="F30" i="58"/>
  <c r="F37" i="58" s="1"/>
  <c r="B28" i="26"/>
  <c r="A28" i="26"/>
  <c r="A27" i="26"/>
  <c r="I2" i="57"/>
  <c r="I1" i="57"/>
  <c r="C27" i="26"/>
  <c r="Q60" i="57"/>
  <c r="P60" i="57"/>
  <c r="O60" i="57"/>
  <c r="N60" i="57"/>
  <c r="M60" i="57"/>
  <c r="L60" i="57"/>
  <c r="K60" i="57"/>
  <c r="H60" i="57"/>
  <c r="G60" i="57"/>
  <c r="F60" i="57"/>
  <c r="E60" i="57"/>
  <c r="D60" i="57"/>
  <c r="C60" i="57"/>
  <c r="A60" i="57"/>
  <c r="I60" i="57" s="1"/>
  <c r="I58" i="57"/>
  <c r="I57" i="57"/>
  <c r="P56" i="57"/>
  <c r="O56" i="57"/>
  <c r="N56" i="57"/>
  <c r="M56" i="57"/>
  <c r="L56" i="57"/>
  <c r="K56" i="57"/>
  <c r="I56" i="57"/>
  <c r="H56" i="57"/>
  <c r="G56" i="57"/>
  <c r="F56" i="57"/>
  <c r="E56" i="57"/>
  <c r="D56" i="57"/>
  <c r="C56" i="57"/>
  <c r="P55" i="57"/>
  <c r="O55" i="57"/>
  <c r="N55" i="57"/>
  <c r="M55" i="57"/>
  <c r="L55" i="57"/>
  <c r="K55" i="57"/>
  <c r="I55" i="57"/>
  <c r="H55" i="57"/>
  <c r="G55" i="57"/>
  <c r="F55" i="57"/>
  <c r="E55" i="57"/>
  <c r="D55" i="57"/>
  <c r="C55" i="57"/>
  <c r="Q54" i="57"/>
  <c r="Q52" i="57"/>
  <c r="I52" i="57"/>
  <c r="P51" i="57"/>
  <c r="O51" i="57"/>
  <c r="N51" i="57"/>
  <c r="M51" i="57"/>
  <c r="L51" i="57"/>
  <c r="K51" i="57"/>
  <c r="I51" i="57"/>
  <c r="H51" i="57"/>
  <c r="G51" i="57"/>
  <c r="F51" i="57"/>
  <c r="E51" i="57"/>
  <c r="D51" i="57"/>
  <c r="C51" i="57"/>
  <c r="Q50" i="57"/>
  <c r="I50" i="57"/>
  <c r="I49" i="57"/>
  <c r="P48" i="57"/>
  <c r="O48" i="57"/>
  <c r="N48" i="57"/>
  <c r="M48" i="57"/>
  <c r="L48" i="57"/>
  <c r="K48" i="57"/>
  <c r="I48" i="57"/>
  <c r="H48" i="57"/>
  <c r="G48" i="57"/>
  <c r="F48" i="57"/>
  <c r="E48" i="57"/>
  <c r="D48" i="57"/>
  <c r="C48" i="57"/>
  <c r="Q47" i="57"/>
  <c r="I47" i="57"/>
  <c r="Q46" i="57"/>
  <c r="R50" i="45" s="1"/>
  <c r="A46" i="57"/>
  <c r="I46" i="57" s="1"/>
  <c r="J46" i="57" s="1"/>
  <c r="A44" i="57"/>
  <c r="I44" i="57" s="1"/>
  <c r="A43" i="57"/>
  <c r="I43" i="57" s="1"/>
  <c r="A42" i="57"/>
  <c r="I42" i="57" s="1"/>
  <c r="I39" i="57"/>
  <c r="I38" i="57"/>
  <c r="I37" i="57"/>
  <c r="Q36" i="57"/>
  <c r="J25" i="34" s="1"/>
  <c r="I36" i="57"/>
  <c r="AJ35" i="57"/>
  <c r="AI35" i="57"/>
  <c r="AH35" i="57"/>
  <c r="AG35" i="57"/>
  <c r="AF35" i="57"/>
  <c r="AE35" i="57"/>
  <c r="AD35" i="57"/>
  <c r="AC35" i="57"/>
  <c r="AB35" i="57"/>
  <c r="AA35" i="57"/>
  <c r="Z35" i="57"/>
  <c r="Y35" i="57"/>
  <c r="Q35" i="57"/>
  <c r="I35" i="57"/>
  <c r="AJ34" i="57"/>
  <c r="AI34" i="57"/>
  <c r="AH34" i="57"/>
  <c r="AG34" i="57"/>
  <c r="AF34" i="57"/>
  <c r="AE34" i="57"/>
  <c r="AD34" i="57"/>
  <c r="AC34" i="57"/>
  <c r="AB34" i="57"/>
  <c r="AA34" i="57"/>
  <c r="Z34" i="57"/>
  <c r="Y34" i="57"/>
  <c r="Q34" i="57"/>
  <c r="I34" i="57"/>
  <c r="Q33" i="57"/>
  <c r="I33" i="57"/>
  <c r="Q32" i="57"/>
  <c r="I32" i="57"/>
  <c r="Q31" i="57"/>
  <c r="R23" i="45" s="1"/>
  <c r="I31" i="57"/>
  <c r="A30" i="57"/>
  <c r="B30" i="57" s="1"/>
  <c r="P29" i="57"/>
  <c r="O29" i="57"/>
  <c r="N29" i="57"/>
  <c r="M29" i="57"/>
  <c r="L29" i="57"/>
  <c r="K29" i="57"/>
  <c r="H29" i="57"/>
  <c r="G29" i="57"/>
  <c r="F29" i="57"/>
  <c r="E29" i="57"/>
  <c r="D29" i="57"/>
  <c r="C29" i="57"/>
  <c r="A29" i="57"/>
  <c r="I29" i="57" s="1"/>
  <c r="J29" i="57" s="1"/>
  <c r="Q28" i="57"/>
  <c r="A28" i="57"/>
  <c r="P27" i="57"/>
  <c r="O27" i="57"/>
  <c r="N27" i="57"/>
  <c r="M27" i="57"/>
  <c r="L27" i="57"/>
  <c r="K27" i="57"/>
  <c r="H27" i="57"/>
  <c r="G27" i="57"/>
  <c r="F27" i="57"/>
  <c r="E27" i="57"/>
  <c r="D27" i="57"/>
  <c r="C27" i="57"/>
  <c r="A27" i="57"/>
  <c r="B27" i="57" s="1"/>
  <c r="Q26" i="57"/>
  <c r="A26" i="57"/>
  <c r="B26" i="57" s="1"/>
  <c r="Q25" i="57"/>
  <c r="Q24" i="57"/>
  <c r="A24" i="57"/>
  <c r="I24" i="57" s="1"/>
  <c r="J24" i="57" s="1"/>
  <c r="A23" i="57"/>
  <c r="I23" i="57" s="1"/>
  <c r="J23" i="57" s="1"/>
  <c r="P22" i="57"/>
  <c r="O22" i="57"/>
  <c r="N22" i="57"/>
  <c r="M22" i="57"/>
  <c r="L22" i="57"/>
  <c r="K22" i="57"/>
  <c r="H22" i="57"/>
  <c r="G22" i="57"/>
  <c r="F22" i="57"/>
  <c r="E22" i="57"/>
  <c r="D22" i="57"/>
  <c r="C22" i="57"/>
  <c r="A22" i="57"/>
  <c r="B22" i="57" s="1"/>
  <c r="A21" i="57"/>
  <c r="B7" i="45" s="1"/>
  <c r="A17" i="57"/>
  <c r="D17" i="57" s="1"/>
  <c r="I15" i="57"/>
  <c r="Y14" i="57"/>
  <c r="L14" i="57"/>
  <c r="K14" i="57" s="1"/>
  <c r="I14" i="57"/>
  <c r="Z13" i="57"/>
  <c r="Y13" i="57"/>
  <c r="I13" i="57"/>
  <c r="Z12" i="57"/>
  <c r="Y12" i="57"/>
  <c r="M12" i="57"/>
  <c r="I12" i="57"/>
  <c r="Z11" i="57"/>
  <c r="Y11" i="57"/>
  <c r="AD10" i="57"/>
  <c r="AD8" i="57" s="1"/>
  <c r="Q10" i="57"/>
  <c r="N10" i="57"/>
  <c r="H10" i="57"/>
  <c r="I10" i="57" s="1"/>
  <c r="E10" i="57"/>
  <c r="AD9" i="57"/>
  <c r="T9" i="57"/>
  <c r="A41" i="57" s="1"/>
  <c r="I41" i="57" s="1"/>
  <c r="N9" i="57"/>
  <c r="L9" i="57"/>
  <c r="K9" i="57" s="1"/>
  <c r="I9" i="57"/>
  <c r="A40" i="57"/>
  <c r="I40" i="57" s="1"/>
  <c r="Z7" i="57"/>
  <c r="Q7" i="57"/>
  <c r="N7" i="57"/>
  <c r="M7" i="57"/>
  <c r="I7" i="57"/>
  <c r="AC6" i="57"/>
  <c r="S28" i="57" s="1"/>
  <c r="W29" i="57" s="1"/>
  <c r="N6" i="57"/>
  <c r="Q4" i="57"/>
  <c r="H4" i="57"/>
  <c r="L1" i="57"/>
  <c r="Q7" i="35"/>
  <c r="K37" i="58" l="1"/>
  <c r="Z38" i="60"/>
  <c r="AA38" i="60" s="1"/>
  <c r="AB38" i="60" s="1"/>
  <c r="AC38" i="60" s="1"/>
  <c r="AD38" i="60" s="1"/>
  <c r="AE38" i="60" s="1"/>
  <c r="AF38" i="60" s="1"/>
  <c r="AG38" i="60" s="1"/>
  <c r="AH38" i="60" s="1"/>
  <c r="AI38" i="60" s="1"/>
  <c r="AJ38" i="60" s="1"/>
  <c r="M30" i="57"/>
  <c r="M37" i="57" s="1"/>
  <c r="M42" i="57" s="1"/>
  <c r="C42" i="56"/>
  <c r="Q42" i="56" s="1"/>
  <c r="P43" i="53"/>
  <c r="O43" i="55"/>
  <c r="Y40" i="56"/>
  <c r="Y42" i="56" s="1"/>
  <c r="C38" i="56" s="1"/>
  <c r="Z38" i="56"/>
  <c r="D43" i="54"/>
  <c r="M43" i="54"/>
  <c r="S31" i="57"/>
  <c r="W32" i="57" s="1"/>
  <c r="AC37" i="58"/>
  <c r="AB37" i="58"/>
  <c r="Y15" i="57"/>
  <c r="AD37" i="58"/>
  <c r="AA37" i="58"/>
  <c r="Y37" i="58"/>
  <c r="Y38" i="58" s="1"/>
  <c r="Z38" i="58" s="1"/>
  <c r="G43" i="56"/>
  <c r="N42" i="54"/>
  <c r="P30" i="57"/>
  <c r="AJ37" i="57" s="1"/>
  <c r="M43" i="53"/>
  <c r="L43" i="53"/>
  <c r="H30" i="57"/>
  <c r="H37" i="57" s="1"/>
  <c r="H43" i="57" s="1"/>
  <c r="Q37" i="53"/>
  <c r="R21" i="51" s="1"/>
  <c r="R40" i="51" s="1"/>
  <c r="G43" i="58"/>
  <c r="AD7" i="57"/>
  <c r="S36" i="57" s="1"/>
  <c r="W37" i="57" s="1"/>
  <c r="I21" i="57"/>
  <c r="Q48" i="57"/>
  <c r="N42" i="60"/>
  <c r="L43" i="54"/>
  <c r="E42" i="54"/>
  <c r="M43" i="56"/>
  <c r="AB38" i="54"/>
  <c r="AC38" i="54" s="1"/>
  <c r="AD38" i="54" s="1"/>
  <c r="AE38" i="54" s="1"/>
  <c r="AF38" i="54" s="1"/>
  <c r="AG38" i="54" s="1"/>
  <c r="AH38" i="54" s="1"/>
  <c r="AI38" i="54" s="1"/>
  <c r="AJ38" i="54" s="1"/>
  <c r="Y40" i="54"/>
  <c r="Y42" i="54" s="1"/>
  <c r="C38" i="54" s="1"/>
  <c r="C39" i="54" s="1"/>
  <c r="M37" i="58"/>
  <c r="M42" i="58" s="1"/>
  <c r="D37" i="58"/>
  <c r="D42" i="58" s="1"/>
  <c r="Q37" i="56"/>
  <c r="F35" i="34" s="1"/>
  <c r="Y40" i="59"/>
  <c r="Y42" i="59" s="1"/>
  <c r="C38" i="59" s="1"/>
  <c r="AA38" i="56"/>
  <c r="AB38" i="56" s="1"/>
  <c r="AC38" i="56" s="1"/>
  <c r="Q56" i="57"/>
  <c r="Q37" i="59"/>
  <c r="F29" i="34" s="1"/>
  <c r="O43" i="59"/>
  <c r="Q43" i="59" s="1"/>
  <c r="M43" i="55"/>
  <c r="Q37" i="55"/>
  <c r="E33" i="34" s="1"/>
  <c r="O37" i="58"/>
  <c r="AD6" i="57"/>
  <c r="B46" i="57"/>
  <c r="Z14" i="57"/>
  <c r="B24" i="57"/>
  <c r="I26" i="57"/>
  <c r="J26" i="57" s="1"/>
  <c r="B29" i="57"/>
  <c r="Z40" i="53"/>
  <c r="Z42" i="53" s="1"/>
  <c r="D38" i="53" s="1"/>
  <c r="AA38" i="59"/>
  <c r="AB38" i="59" s="1"/>
  <c r="AC38" i="59" s="1"/>
  <c r="AD38" i="59" s="1"/>
  <c r="AE38" i="59" s="1"/>
  <c r="AF38" i="59" s="1"/>
  <c r="AG38" i="59" s="1"/>
  <c r="AH38" i="59" s="1"/>
  <c r="AI38" i="59" s="1"/>
  <c r="AJ38" i="59" s="1"/>
  <c r="Z38" i="55"/>
  <c r="AA38" i="55" s="1"/>
  <c r="AB38" i="55" s="1"/>
  <c r="AC38" i="55" s="1"/>
  <c r="AD38" i="55" s="1"/>
  <c r="AE38" i="55" s="1"/>
  <c r="AF38" i="55" s="1"/>
  <c r="AG38" i="55" s="1"/>
  <c r="AH38" i="55" s="1"/>
  <c r="AI38" i="55" s="1"/>
  <c r="AJ38" i="55" s="1"/>
  <c r="AA38" i="53"/>
  <c r="AB38" i="53" s="1"/>
  <c r="AC38" i="53" s="1"/>
  <c r="I8" i="57"/>
  <c r="I22" i="57"/>
  <c r="J22" i="57" s="1"/>
  <c r="B23" i="57"/>
  <c r="C42" i="54"/>
  <c r="C43" i="54"/>
  <c r="Q37" i="54"/>
  <c r="AD36" i="54"/>
  <c r="C41" i="53"/>
  <c r="C44" i="53"/>
  <c r="C40" i="53"/>
  <c r="AE36" i="53"/>
  <c r="Y43" i="53"/>
  <c r="Q42" i="53"/>
  <c r="AD36" i="56"/>
  <c r="AD36" i="55"/>
  <c r="Z40" i="55"/>
  <c r="Y42" i="55"/>
  <c r="C38" i="55" s="1"/>
  <c r="Q42" i="55"/>
  <c r="AD36" i="60"/>
  <c r="Z40" i="60"/>
  <c r="Y42" i="60"/>
  <c r="C38" i="60" s="1"/>
  <c r="C39" i="60" s="1"/>
  <c r="C45" i="60" s="1"/>
  <c r="C42" i="60"/>
  <c r="C43" i="60"/>
  <c r="Q43" i="60" s="1"/>
  <c r="Q37" i="60"/>
  <c r="Q42" i="59"/>
  <c r="AD36" i="59"/>
  <c r="H43" i="58"/>
  <c r="H42" i="58"/>
  <c r="F42" i="58"/>
  <c r="F43" i="58"/>
  <c r="E42" i="58"/>
  <c r="E43" i="58"/>
  <c r="Q30" i="58"/>
  <c r="L42" i="58"/>
  <c r="L43" i="58"/>
  <c r="K42" i="58"/>
  <c r="K43" i="58"/>
  <c r="P42" i="58"/>
  <c r="P43" i="58"/>
  <c r="AD36" i="58"/>
  <c r="N42" i="58"/>
  <c r="N43" i="58"/>
  <c r="C42" i="58"/>
  <c r="C43" i="58"/>
  <c r="Q22" i="57"/>
  <c r="D30" i="57"/>
  <c r="Z37" i="57" s="1"/>
  <c r="M9" i="57"/>
  <c r="M10" i="57" s="1"/>
  <c r="Q27" i="57"/>
  <c r="E30" i="57"/>
  <c r="E37" i="57" s="1"/>
  <c r="Q58" i="57"/>
  <c r="Q29" i="57"/>
  <c r="L30" i="57"/>
  <c r="L37" i="57" s="1"/>
  <c r="Y36" i="57"/>
  <c r="Q51" i="57"/>
  <c r="AG7" i="57"/>
  <c r="U2" i="57"/>
  <c r="Q23" i="57"/>
  <c r="I27" i="57"/>
  <c r="J27" i="57" s="1"/>
  <c r="I30" i="57"/>
  <c r="J30" i="57" s="1"/>
  <c r="M14" i="57"/>
  <c r="M15" i="57" s="1"/>
  <c r="B25" i="57"/>
  <c r="I25" i="57"/>
  <c r="J25" i="57" s="1"/>
  <c r="F30" i="57"/>
  <c r="F37" i="57" s="1"/>
  <c r="N30" i="57"/>
  <c r="N37" i="57" s="1"/>
  <c r="B28" i="57"/>
  <c r="I28" i="57"/>
  <c r="J28" i="57" s="1"/>
  <c r="C30" i="57"/>
  <c r="Y37" i="57" s="1"/>
  <c r="G30" i="57"/>
  <c r="G37" i="57" s="1"/>
  <c r="K30" i="57"/>
  <c r="K37" i="57" s="1"/>
  <c r="O30" i="57"/>
  <c r="O37" i="57" s="1"/>
  <c r="AG37" i="57" l="1"/>
  <c r="Z40" i="56"/>
  <c r="M43" i="58"/>
  <c r="P37" i="57"/>
  <c r="P43" i="57" s="1"/>
  <c r="Q43" i="55"/>
  <c r="S33" i="57"/>
  <c r="W34" i="57" s="1"/>
  <c r="Q43" i="53"/>
  <c r="Q43" i="56"/>
  <c r="AD37" i="57"/>
  <c r="AA37" i="57"/>
  <c r="AB37" i="57"/>
  <c r="AE37" i="57"/>
  <c r="F37" i="34"/>
  <c r="AC37" i="57"/>
  <c r="AH37" i="57"/>
  <c r="AF37" i="57"/>
  <c r="Y38" i="57"/>
  <c r="Y40" i="57" s="1"/>
  <c r="AI37" i="57"/>
  <c r="Y40" i="58"/>
  <c r="Z40" i="58" s="1"/>
  <c r="Z42" i="58" s="1"/>
  <c r="D38" i="58" s="1"/>
  <c r="G40" i="26"/>
  <c r="F7" i="51"/>
  <c r="E37" i="34"/>
  <c r="F40" i="26"/>
  <c r="I7" i="51"/>
  <c r="R21" i="47"/>
  <c r="R40" i="47" s="1"/>
  <c r="Q43" i="54"/>
  <c r="D43" i="58"/>
  <c r="Q42" i="60"/>
  <c r="Q37" i="58"/>
  <c r="R21" i="46" s="1"/>
  <c r="R40" i="46" s="1"/>
  <c r="Z40" i="59"/>
  <c r="AA40" i="59" s="1"/>
  <c r="AD38" i="56"/>
  <c r="AE38" i="56" s="1"/>
  <c r="AF38" i="56" s="1"/>
  <c r="AG38" i="56" s="1"/>
  <c r="AH38" i="56" s="1"/>
  <c r="AI38" i="56" s="1"/>
  <c r="AJ38" i="56" s="1"/>
  <c r="AC40" i="56"/>
  <c r="E29" i="34"/>
  <c r="F32" i="26"/>
  <c r="F38" i="26"/>
  <c r="I7" i="50"/>
  <c r="F7" i="47"/>
  <c r="G32" i="26"/>
  <c r="I7" i="47"/>
  <c r="F33" i="34"/>
  <c r="AA38" i="58"/>
  <c r="AB38" i="58" s="1"/>
  <c r="AC38" i="58" s="1"/>
  <c r="AD38" i="58" s="1"/>
  <c r="AE38" i="58" s="1"/>
  <c r="AF38" i="58" s="1"/>
  <c r="AG38" i="58" s="1"/>
  <c r="AH38" i="58" s="1"/>
  <c r="AI38" i="58" s="1"/>
  <c r="AJ38" i="58" s="1"/>
  <c r="Q42" i="54"/>
  <c r="Z40" i="54"/>
  <c r="AA40" i="54" s="1"/>
  <c r="I7" i="49"/>
  <c r="M43" i="57"/>
  <c r="G36" i="26"/>
  <c r="E35" i="34"/>
  <c r="F7" i="49"/>
  <c r="G38" i="26"/>
  <c r="F7" i="50"/>
  <c r="R21" i="50"/>
  <c r="R40" i="50" s="1"/>
  <c r="R21" i="49"/>
  <c r="R40" i="49" s="1"/>
  <c r="F36" i="26"/>
  <c r="AC40" i="59"/>
  <c r="AA40" i="53"/>
  <c r="AA42" i="53" s="1"/>
  <c r="E38" i="53" s="1"/>
  <c r="AC40" i="60"/>
  <c r="O43" i="58"/>
  <c r="O42" i="58"/>
  <c r="Q42" i="58" s="1"/>
  <c r="D37" i="57"/>
  <c r="D43" i="57" s="1"/>
  <c r="AD38" i="53"/>
  <c r="AC40" i="53"/>
  <c r="AC40" i="55"/>
  <c r="AC40" i="54"/>
  <c r="R21" i="48"/>
  <c r="R40" i="48" s="1"/>
  <c r="I7" i="48"/>
  <c r="F7" i="48"/>
  <c r="F31" i="34"/>
  <c r="E31" i="34"/>
  <c r="R21" i="52"/>
  <c r="R40" i="52" s="1"/>
  <c r="I7" i="52"/>
  <c r="F39" i="34"/>
  <c r="F7" i="52"/>
  <c r="E39" i="34"/>
  <c r="G42" i="26"/>
  <c r="F42" i="26"/>
  <c r="C41" i="54"/>
  <c r="C44" i="54"/>
  <c r="C58" i="54" s="1"/>
  <c r="Q58" i="54" s="1"/>
  <c r="C40" i="54"/>
  <c r="AD40" i="54"/>
  <c r="AE36" i="54"/>
  <c r="Y43" i="54"/>
  <c r="D39" i="53"/>
  <c r="D45" i="53" s="1"/>
  <c r="AF36" i="53"/>
  <c r="C49" i="53"/>
  <c r="C39" i="56"/>
  <c r="C45" i="56" s="1"/>
  <c r="Z42" i="56"/>
  <c r="D38" i="56" s="1"/>
  <c r="AA40" i="56"/>
  <c r="AE36" i="56"/>
  <c r="C39" i="55"/>
  <c r="C45" i="55" s="1"/>
  <c r="Z42" i="55"/>
  <c r="D38" i="55" s="1"/>
  <c r="AA40" i="55"/>
  <c r="AD40" i="55"/>
  <c r="AE36" i="55"/>
  <c r="G34" i="26"/>
  <c r="F34" i="26"/>
  <c r="Z42" i="60"/>
  <c r="D38" i="60" s="1"/>
  <c r="AA40" i="60"/>
  <c r="C41" i="60"/>
  <c r="C44" i="60"/>
  <c r="C40" i="60"/>
  <c r="Y43" i="60"/>
  <c r="AD40" i="60"/>
  <c r="AE36" i="60"/>
  <c r="AD40" i="59"/>
  <c r="AE36" i="59"/>
  <c r="C39" i="59"/>
  <c r="AE36" i="58"/>
  <c r="H42" i="57"/>
  <c r="L43" i="57"/>
  <c r="L42" i="57"/>
  <c r="K43" i="57"/>
  <c r="K42" i="57"/>
  <c r="G42" i="57"/>
  <c r="G43" i="57"/>
  <c r="F43" i="57"/>
  <c r="F42" i="57"/>
  <c r="Q30" i="57"/>
  <c r="O43" i="57"/>
  <c r="O42" i="57"/>
  <c r="E43" i="57"/>
  <c r="E42" i="57"/>
  <c r="Z36" i="57"/>
  <c r="AA36" i="57" s="1"/>
  <c r="AB36" i="57" s="1"/>
  <c r="AC36" i="57" s="1"/>
  <c r="C37" i="57"/>
  <c r="N43" i="57"/>
  <c r="N42" i="57"/>
  <c r="M7" i="35"/>
  <c r="I7" i="35"/>
  <c r="H10" i="35"/>
  <c r="I10" i="35" s="1"/>
  <c r="I13" i="35"/>
  <c r="Y13" i="35"/>
  <c r="Y42" i="58" l="1"/>
  <c r="C38" i="58" s="1"/>
  <c r="C39" i="58" s="1"/>
  <c r="C45" i="58" s="1"/>
  <c r="P42" i="57"/>
  <c r="Z38" i="57"/>
  <c r="AA38" i="57" s="1"/>
  <c r="AB38" i="57" s="1"/>
  <c r="AC38" i="57" s="1"/>
  <c r="AD38" i="57" s="1"/>
  <c r="AE38" i="57" s="1"/>
  <c r="AF38" i="57" s="1"/>
  <c r="AG38" i="57" s="1"/>
  <c r="AH38" i="57" s="1"/>
  <c r="AI38" i="57" s="1"/>
  <c r="AJ38" i="57" s="1"/>
  <c r="Q43" i="58"/>
  <c r="AA40" i="58"/>
  <c r="AA42" i="58" s="1"/>
  <c r="E38" i="58" s="1"/>
  <c r="Y43" i="59"/>
  <c r="C45" i="59"/>
  <c r="F30" i="26"/>
  <c r="F7" i="46"/>
  <c r="Z42" i="59"/>
  <c r="D38" i="59" s="1"/>
  <c r="D39" i="59" s="1"/>
  <c r="D45" i="59" s="1"/>
  <c r="AD40" i="56"/>
  <c r="AD42" i="56" s="1"/>
  <c r="H38" i="56" s="1"/>
  <c r="H39" i="56" s="1"/>
  <c r="E27" i="34"/>
  <c r="AD42" i="60"/>
  <c r="H38" i="60" s="1"/>
  <c r="H39" i="60" s="1"/>
  <c r="I7" i="46"/>
  <c r="G30" i="26"/>
  <c r="AB40" i="53"/>
  <c r="AB42" i="53" s="1"/>
  <c r="F38" i="53" s="1"/>
  <c r="F27" i="34"/>
  <c r="AC40" i="58"/>
  <c r="AD40" i="58"/>
  <c r="D42" i="57"/>
  <c r="Z42" i="54"/>
  <c r="D38" i="54" s="1"/>
  <c r="D39" i="54" s="1"/>
  <c r="AD42" i="54"/>
  <c r="H38" i="54" s="1"/>
  <c r="H39" i="54" s="1"/>
  <c r="AD42" i="59"/>
  <c r="H38" i="59" s="1"/>
  <c r="H39" i="59" s="1"/>
  <c r="H45" i="59" s="1"/>
  <c r="AD42" i="55"/>
  <c r="H38" i="55" s="1"/>
  <c r="H39" i="55" s="1"/>
  <c r="AE38" i="53"/>
  <c r="AD40" i="53"/>
  <c r="AD42" i="53" s="1"/>
  <c r="H38" i="53" s="1"/>
  <c r="H39" i="53" s="1"/>
  <c r="AA42" i="54"/>
  <c r="E38" i="54" s="1"/>
  <c r="AB40" i="54"/>
  <c r="AF36" i="54"/>
  <c r="AE40" i="54"/>
  <c r="AE42" i="54" s="1"/>
  <c r="K38" i="54" s="1"/>
  <c r="AG36" i="53"/>
  <c r="C57" i="53"/>
  <c r="D44" i="53"/>
  <c r="D40" i="53"/>
  <c r="D41" i="53"/>
  <c r="E39" i="53"/>
  <c r="E45" i="53" s="1"/>
  <c r="Z43" i="53"/>
  <c r="AF36" i="56"/>
  <c r="AE40" i="56"/>
  <c r="C41" i="56"/>
  <c r="C44" i="56"/>
  <c r="C40" i="56"/>
  <c r="AA42" i="56"/>
  <c r="E38" i="56" s="1"/>
  <c r="AB40" i="56"/>
  <c r="Y43" i="56"/>
  <c r="D39" i="56"/>
  <c r="D45" i="56" s="1"/>
  <c r="AF36" i="55"/>
  <c r="AE40" i="55"/>
  <c r="AE42" i="55" s="1"/>
  <c r="K38" i="55" s="1"/>
  <c r="D39" i="55"/>
  <c r="C41" i="55"/>
  <c r="C44" i="55"/>
  <c r="C40" i="55"/>
  <c r="Y43" i="55"/>
  <c r="AA42" i="55"/>
  <c r="E38" i="55" s="1"/>
  <c r="AB40" i="55"/>
  <c r="AF36" i="60"/>
  <c r="AE40" i="60"/>
  <c r="AE42" i="60" s="1"/>
  <c r="K38" i="60" s="1"/>
  <c r="C49" i="60"/>
  <c r="AA42" i="60"/>
  <c r="E38" i="60" s="1"/>
  <c r="AB40" i="60"/>
  <c r="D39" i="60"/>
  <c r="D45" i="60" s="1"/>
  <c r="AF36" i="59"/>
  <c r="AE40" i="59"/>
  <c r="AE42" i="59" s="1"/>
  <c r="K38" i="59" s="1"/>
  <c r="C41" i="59"/>
  <c r="C40" i="59"/>
  <c r="C44" i="59"/>
  <c r="AA42" i="59"/>
  <c r="E38" i="59" s="1"/>
  <c r="AB40" i="59"/>
  <c r="C41" i="58"/>
  <c r="C44" i="58"/>
  <c r="C40" i="58"/>
  <c r="Y43" i="58"/>
  <c r="AF36" i="58"/>
  <c r="AE40" i="58"/>
  <c r="D39" i="58"/>
  <c r="Z40" i="57"/>
  <c r="Y42" i="57"/>
  <c r="C38" i="57" s="1"/>
  <c r="C39" i="57" s="1"/>
  <c r="C45" i="57" s="1"/>
  <c r="C42" i="57"/>
  <c r="C43" i="57"/>
  <c r="Q43" i="57" s="1"/>
  <c r="Q37" i="57"/>
  <c r="AD36" i="57"/>
  <c r="I8" i="35"/>
  <c r="B25" i="35"/>
  <c r="A27" i="35"/>
  <c r="A26" i="35"/>
  <c r="A29" i="35"/>
  <c r="A28" i="35"/>
  <c r="N10" i="35"/>
  <c r="N9" i="35"/>
  <c r="I15" i="35"/>
  <c r="AB40" i="58" l="1"/>
  <c r="Z43" i="55"/>
  <c r="D45" i="55"/>
  <c r="H40" i="53"/>
  <c r="H45" i="53"/>
  <c r="AD43" i="56"/>
  <c r="H45" i="56"/>
  <c r="AD43" i="55"/>
  <c r="H45" i="55"/>
  <c r="AD43" i="54"/>
  <c r="H45" i="54"/>
  <c r="Z43" i="58"/>
  <c r="D45" i="58"/>
  <c r="Z43" i="54"/>
  <c r="AD43" i="60"/>
  <c r="H45" i="60"/>
  <c r="AC42" i="53"/>
  <c r="G38" i="53" s="1"/>
  <c r="G39" i="53" s="1"/>
  <c r="Q42" i="57"/>
  <c r="AE42" i="58"/>
  <c r="K38" i="58" s="1"/>
  <c r="K39" i="58" s="1"/>
  <c r="K45" i="58" s="1"/>
  <c r="AE42" i="56"/>
  <c r="K38" i="56" s="1"/>
  <c r="K39" i="56" s="1"/>
  <c r="AD42" i="58"/>
  <c r="H38" i="58" s="1"/>
  <c r="H39" i="58" s="1"/>
  <c r="H41" i="53"/>
  <c r="H44" i="53"/>
  <c r="AD43" i="53"/>
  <c r="AC40" i="57"/>
  <c r="AF38" i="53"/>
  <c r="AE40" i="53"/>
  <c r="AE42" i="53" s="1"/>
  <c r="K38" i="53" s="1"/>
  <c r="K39" i="53" s="1"/>
  <c r="R21" i="45"/>
  <c r="R40" i="45" s="1"/>
  <c r="I7" i="45"/>
  <c r="E25" i="34"/>
  <c r="F7" i="45"/>
  <c r="F25" i="34"/>
  <c r="K39" i="54"/>
  <c r="E39" i="54"/>
  <c r="D44" i="54"/>
  <c r="D41" i="54"/>
  <c r="D40" i="54"/>
  <c r="AB42" i="54"/>
  <c r="F38" i="54" s="1"/>
  <c r="AC42" i="54"/>
  <c r="G38" i="54" s="1"/>
  <c r="AG36" i="54"/>
  <c r="AF40" i="54"/>
  <c r="AF42" i="54" s="1"/>
  <c r="L38" i="54" s="1"/>
  <c r="H44" i="54"/>
  <c r="H41" i="54"/>
  <c r="H40" i="54"/>
  <c r="D49" i="53"/>
  <c r="D57" i="53" s="1"/>
  <c r="E40" i="53"/>
  <c r="E41" i="53"/>
  <c r="E44" i="53"/>
  <c r="F39" i="53"/>
  <c r="F45" i="53" s="1"/>
  <c r="AH36" i="53"/>
  <c r="AA43" i="53"/>
  <c r="D44" i="56"/>
  <c r="D41" i="56"/>
  <c r="D40" i="56"/>
  <c r="E39" i="56"/>
  <c r="AB42" i="56"/>
  <c r="F38" i="56" s="1"/>
  <c r="AC42" i="56"/>
  <c r="G38" i="56" s="1"/>
  <c r="C49" i="56"/>
  <c r="Z43" i="56"/>
  <c r="H44" i="56"/>
  <c r="H41" i="56"/>
  <c r="H40" i="56"/>
  <c r="AG36" i="56"/>
  <c r="AF40" i="56"/>
  <c r="AF42" i="56" s="1"/>
  <c r="L38" i="56" s="1"/>
  <c r="AB42" i="55"/>
  <c r="F38" i="55" s="1"/>
  <c r="AC42" i="55"/>
  <c r="G38" i="55" s="1"/>
  <c r="C49" i="55"/>
  <c r="H44" i="55"/>
  <c r="H41" i="55"/>
  <c r="H40" i="55"/>
  <c r="D44" i="55"/>
  <c r="D40" i="55"/>
  <c r="D41" i="55"/>
  <c r="K39" i="55"/>
  <c r="E39" i="55"/>
  <c r="AF40" i="55"/>
  <c r="AF42" i="55" s="1"/>
  <c r="L38" i="55" s="1"/>
  <c r="AG36" i="55"/>
  <c r="K39" i="60"/>
  <c r="K45" i="60" s="1"/>
  <c r="AB42" i="60"/>
  <c r="F38" i="60" s="1"/>
  <c r="AC42" i="60"/>
  <c r="G38" i="60" s="1"/>
  <c r="AG36" i="60"/>
  <c r="AF40" i="60"/>
  <c r="AF42" i="60" s="1"/>
  <c r="L38" i="60" s="1"/>
  <c r="D44" i="60"/>
  <c r="D41" i="60"/>
  <c r="D40" i="60"/>
  <c r="E39" i="60"/>
  <c r="C57" i="60"/>
  <c r="Z43" i="60"/>
  <c r="H44" i="60"/>
  <c r="H41" i="60"/>
  <c r="H40" i="60"/>
  <c r="AB42" i="59"/>
  <c r="F38" i="59" s="1"/>
  <c r="AC42" i="59"/>
  <c r="G38" i="59" s="1"/>
  <c r="Z43" i="59"/>
  <c r="E39" i="59"/>
  <c r="H44" i="59"/>
  <c r="H41" i="59"/>
  <c r="H40" i="59"/>
  <c r="AG36" i="59"/>
  <c r="AF40" i="59"/>
  <c r="AF42" i="59" s="1"/>
  <c r="L38" i="59" s="1"/>
  <c r="AD43" i="59"/>
  <c r="C49" i="59"/>
  <c r="D44" i="59"/>
  <c r="D41" i="59"/>
  <c r="D40" i="59"/>
  <c r="K39" i="59"/>
  <c r="K45" i="59" s="1"/>
  <c r="AF40" i="58"/>
  <c r="AF42" i="58" s="1"/>
  <c r="L38" i="58" s="1"/>
  <c r="AG36" i="58"/>
  <c r="C49" i="58"/>
  <c r="D44" i="58"/>
  <c r="D40" i="58"/>
  <c r="D41" i="58"/>
  <c r="AB42" i="58"/>
  <c r="F38" i="58" s="1"/>
  <c r="AC42" i="58"/>
  <c r="G38" i="58" s="1"/>
  <c r="E39" i="58"/>
  <c r="G28" i="26"/>
  <c r="F28" i="26"/>
  <c r="C41" i="57"/>
  <c r="C40" i="57"/>
  <c r="C44" i="57"/>
  <c r="Y43" i="57"/>
  <c r="AD40" i="57"/>
  <c r="AE36" i="57"/>
  <c r="AA40" i="57"/>
  <c r="Z42" i="57"/>
  <c r="D38" i="57" s="1"/>
  <c r="AG35" i="35"/>
  <c r="C56" i="35"/>
  <c r="P56" i="35"/>
  <c r="O56" i="35"/>
  <c r="N56" i="35"/>
  <c r="M56" i="35"/>
  <c r="L56" i="35"/>
  <c r="K56" i="35"/>
  <c r="H56" i="35"/>
  <c r="G56" i="35"/>
  <c r="F56" i="35"/>
  <c r="D56" i="35"/>
  <c r="E56" i="35"/>
  <c r="P27" i="35"/>
  <c r="O27" i="35"/>
  <c r="N27" i="35"/>
  <c r="M27" i="35"/>
  <c r="L27" i="35"/>
  <c r="K27" i="35"/>
  <c r="H27" i="35"/>
  <c r="G27" i="35"/>
  <c r="F27" i="35"/>
  <c r="E27" i="35"/>
  <c r="D27" i="35"/>
  <c r="C27" i="35"/>
  <c r="A22" i="35"/>
  <c r="J64" i="35"/>
  <c r="B62" i="35"/>
  <c r="J62" i="35" s="1"/>
  <c r="B61" i="35"/>
  <c r="J61" i="35" s="1"/>
  <c r="A24" i="35"/>
  <c r="B24" i="35" s="1"/>
  <c r="AA43" i="59" l="1"/>
  <c r="E45" i="59"/>
  <c r="AA43" i="56"/>
  <c r="E45" i="56"/>
  <c r="AA43" i="60"/>
  <c r="E45" i="60"/>
  <c r="AA43" i="58"/>
  <c r="E45" i="58"/>
  <c r="AA43" i="55"/>
  <c r="E45" i="55"/>
  <c r="AE43" i="56"/>
  <c r="K45" i="56"/>
  <c r="AC43" i="53"/>
  <c r="G45" i="53"/>
  <c r="AE43" i="55"/>
  <c r="K45" i="55"/>
  <c r="K44" i="53"/>
  <c r="K45" i="53"/>
  <c r="H40" i="58"/>
  <c r="H45" i="58"/>
  <c r="AA43" i="54"/>
  <c r="AE43" i="54"/>
  <c r="K45" i="54"/>
  <c r="H44" i="58"/>
  <c r="H41" i="58"/>
  <c r="AD43" i="58"/>
  <c r="AD42" i="57"/>
  <c r="H38" i="57" s="1"/>
  <c r="H39" i="57" s="1"/>
  <c r="H45" i="57" s="1"/>
  <c r="K41" i="53"/>
  <c r="AE43" i="53"/>
  <c r="K40" i="53"/>
  <c r="AG38" i="53"/>
  <c r="AF40" i="53"/>
  <c r="AF42" i="53" s="1"/>
  <c r="L38" i="53" s="1"/>
  <c r="L39" i="53" s="1"/>
  <c r="F39" i="54"/>
  <c r="AG40" i="54"/>
  <c r="AG42" i="54" s="1"/>
  <c r="M38" i="54" s="1"/>
  <c r="AH36" i="54"/>
  <c r="L39" i="54"/>
  <c r="K40" i="54"/>
  <c r="K41" i="54"/>
  <c r="K44" i="54"/>
  <c r="G39" i="54"/>
  <c r="E40" i="54"/>
  <c r="E44" i="54"/>
  <c r="E41" i="54"/>
  <c r="AI36" i="53"/>
  <c r="F40" i="53"/>
  <c r="F41" i="53"/>
  <c r="F44" i="53"/>
  <c r="AB43" i="53"/>
  <c r="E49" i="53"/>
  <c r="E57" i="53" s="1"/>
  <c r="G41" i="53"/>
  <c r="G44" i="53"/>
  <c r="G40" i="53"/>
  <c r="AG40" i="56"/>
  <c r="AG42" i="56" s="1"/>
  <c r="M38" i="56" s="1"/>
  <c r="AH36" i="56"/>
  <c r="K40" i="56"/>
  <c r="K41" i="56"/>
  <c r="K44" i="56"/>
  <c r="E40" i="56"/>
  <c r="E44" i="56"/>
  <c r="E41" i="56"/>
  <c r="G39" i="56"/>
  <c r="F39" i="56"/>
  <c r="D49" i="56"/>
  <c r="D57" i="56" s="1"/>
  <c r="L39" i="56"/>
  <c r="C57" i="56"/>
  <c r="D49" i="55"/>
  <c r="D57" i="55" s="1"/>
  <c r="AG40" i="55"/>
  <c r="AG42" i="55" s="1"/>
  <c r="M38" i="55" s="1"/>
  <c r="AH36" i="55"/>
  <c r="G39" i="55"/>
  <c r="E40" i="55"/>
  <c r="E44" i="55"/>
  <c r="E41" i="55"/>
  <c r="L39" i="55"/>
  <c r="L45" i="55" s="1"/>
  <c r="K40" i="55"/>
  <c r="K41" i="55"/>
  <c r="K44" i="55"/>
  <c r="C57" i="55"/>
  <c r="F39" i="55"/>
  <c r="G39" i="60"/>
  <c r="F39" i="60"/>
  <c r="D49" i="60"/>
  <c r="D57" i="60" s="1"/>
  <c r="L39" i="60"/>
  <c r="K40" i="60"/>
  <c r="K41" i="60"/>
  <c r="K44" i="60"/>
  <c r="E40" i="60"/>
  <c r="E44" i="60"/>
  <c r="E41" i="60"/>
  <c r="AG40" i="60"/>
  <c r="AG42" i="60" s="1"/>
  <c r="M38" i="60" s="1"/>
  <c r="AH36" i="60"/>
  <c r="AE43" i="60"/>
  <c r="D49" i="59"/>
  <c r="D57" i="59" s="1"/>
  <c r="K40" i="59"/>
  <c r="K44" i="59"/>
  <c r="K41" i="59"/>
  <c r="AE43" i="59"/>
  <c r="E44" i="59"/>
  <c r="E41" i="59"/>
  <c r="E40" i="59"/>
  <c r="F39" i="59"/>
  <c r="L39" i="59"/>
  <c r="C57" i="59"/>
  <c r="AG40" i="59"/>
  <c r="AG42" i="59" s="1"/>
  <c r="M38" i="59" s="1"/>
  <c r="AH36" i="59"/>
  <c r="G39" i="59"/>
  <c r="G45" i="59" s="1"/>
  <c r="K40" i="58"/>
  <c r="K41" i="58"/>
  <c r="K44" i="58"/>
  <c r="F39" i="58"/>
  <c r="F45" i="58" s="1"/>
  <c r="AG40" i="58"/>
  <c r="AG42" i="58" s="1"/>
  <c r="M38" i="58" s="1"/>
  <c r="AH36" i="58"/>
  <c r="E40" i="58"/>
  <c r="E41" i="58"/>
  <c r="E44" i="58"/>
  <c r="AE43" i="58"/>
  <c r="L39" i="58"/>
  <c r="G39" i="58"/>
  <c r="G45" i="58" s="1"/>
  <c r="D49" i="58"/>
  <c r="D57" i="58" s="1"/>
  <c r="C57" i="58"/>
  <c r="C49" i="57"/>
  <c r="D39" i="57"/>
  <c r="AA42" i="57"/>
  <c r="E38" i="57" s="1"/>
  <c r="AB40" i="57"/>
  <c r="AF36" i="57"/>
  <c r="AE40" i="57"/>
  <c r="AE42" i="57" s="1"/>
  <c r="K38" i="57" s="1"/>
  <c r="N7" i="35"/>
  <c r="Q50" i="35"/>
  <c r="N6" i="35"/>
  <c r="AF43" i="59" l="1"/>
  <c r="L45" i="59"/>
  <c r="AC43" i="55"/>
  <c r="G45" i="55"/>
  <c r="Z43" i="57"/>
  <c r="D45" i="57"/>
  <c r="AC43" i="60"/>
  <c r="G45" i="60"/>
  <c r="AB43" i="55"/>
  <c r="F45" i="55"/>
  <c r="AB43" i="56"/>
  <c r="F45" i="56"/>
  <c r="AC43" i="56"/>
  <c r="G45" i="56"/>
  <c r="AF43" i="60"/>
  <c r="L45" i="60"/>
  <c r="AB43" i="54"/>
  <c r="AF43" i="58"/>
  <c r="L45" i="58"/>
  <c r="AB43" i="59"/>
  <c r="F45" i="59"/>
  <c r="AF43" i="54"/>
  <c r="L45" i="54"/>
  <c r="AB43" i="60"/>
  <c r="F45" i="60"/>
  <c r="AF43" i="56"/>
  <c r="L45" i="56"/>
  <c r="AC43" i="54"/>
  <c r="AF43" i="53"/>
  <c r="L45" i="53"/>
  <c r="G49" i="53"/>
  <c r="G57" i="53" s="1"/>
  <c r="L40" i="53"/>
  <c r="AH38" i="53"/>
  <c r="AG40" i="53"/>
  <c r="AG42" i="53" s="1"/>
  <c r="M38" i="53" s="1"/>
  <c r="M39" i="53" s="1"/>
  <c r="L44" i="53"/>
  <c r="L41" i="53"/>
  <c r="M39" i="54"/>
  <c r="G41" i="54"/>
  <c r="G44" i="54"/>
  <c r="G40" i="54"/>
  <c r="L41" i="54"/>
  <c r="L44" i="54"/>
  <c r="L40" i="54"/>
  <c r="AH40" i="54"/>
  <c r="AH42" i="54" s="1"/>
  <c r="N38" i="54" s="1"/>
  <c r="AI36" i="54"/>
  <c r="F40" i="54"/>
  <c r="F41" i="54"/>
  <c r="F44" i="54"/>
  <c r="F49" i="53"/>
  <c r="F57" i="53" s="1"/>
  <c r="AJ36" i="53"/>
  <c r="M39" i="56"/>
  <c r="M45" i="56" s="1"/>
  <c r="L41" i="56"/>
  <c r="L44" i="56"/>
  <c r="L40" i="56"/>
  <c r="F40" i="56"/>
  <c r="F41" i="56"/>
  <c r="F44" i="56"/>
  <c r="E49" i="56"/>
  <c r="E57" i="56" s="1"/>
  <c r="G41" i="56"/>
  <c r="G44" i="56"/>
  <c r="G40" i="56"/>
  <c r="AH40" i="56"/>
  <c r="AH42" i="56" s="1"/>
  <c r="N38" i="56" s="1"/>
  <c r="AI36" i="56"/>
  <c r="F40" i="55"/>
  <c r="F41" i="55"/>
  <c r="F44" i="55"/>
  <c r="G41" i="55"/>
  <c r="G44" i="55"/>
  <c r="G40" i="55"/>
  <c r="L41" i="55"/>
  <c r="L44" i="55"/>
  <c r="L40" i="55"/>
  <c r="AF43" i="55"/>
  <c r="AH40" i="55"/>
  <c r="AH42" i="55" s="1"/>
  <c r="N38" i="55" s="1"/>
  <c r="AI36" i="55"/>
  <c r="E49" i="55"/>
  <c r="E57" i="55" s="1"/>
  <c r="M39" i="55"/>
  <c r="M45" i="55" s="1"/>
  <c r="M39" i="60"/>
  <c r="M45" i="60" s="1"/>
  <c r="L41" i="60"/>
  <c r="L44" i="60"/>
  <c r="L40" i="60"/>
  <c r="F40" i="60"/>
  <c r="F41" i="60"/>
  <c r="F44" i="60"/>
  <c r="E49" i="60"/>
  <c r="E57" i="60" s="1"/>
  <c r="AH40" i="60"/>
  <c r="AH42" i="60" s="1"/>
  <c r="N38" i="60" s="1"/>
  <c r="AI36" i="60"/>
  <c r="G41" i="60"/>
  <c r="G44" i="60"/>
  <c r="G40" i="60"/>
  <c r="M39" i="59"/>
  <c r="G41" i="59"/>
  <c r="G40" i="59"/>
  <c r="G44" i="59"/>
  <c r="AC43" i="59"/>
  <c r="AH40" i="59"/>
  <c r="AH42" i="59" s="1"/>
  <c r="N38" i="59" s="1"/>
  <c r="AI36" i="59"/>
  <c r="L41" i="59"/>
  <c r="L40" i="59"/>
  <c r="L44" i="59"/>
  <c r="E49" i="59"/>
  <c r="E57" i="59" s="1"/>
  <c r="F40" i="59"/>
  <c r="F44" i="59"/>
  <c r="F41" i="59"/>
  <c r="F40" i="58"/>
  <c r="F41" i="58"/>
  <c r="F44" i="58"/>
  <c r="AB43" i="58"/>
  <c r="AH40" i="58"/>
  <c r="AH42" i="58" s="1"/>
  <c r="N38" i="58" s="1"/>
  <c r="AI36" i="58"/>
  <c r="G41" i="58"/>
  <c r="G44" i="58"/>
  <c r="G40" i="58"/>
  <c r="E49" i="58"/>
  <c r="E57" i="58" s="1"/>
  <c r="AC43" i="58"/>
  <c r="L41" i="58"/>
  <c r="L44" i="58"/>
  <c r="L40" i="58"/>
  <c r="M39" i="58"/>
  <c r="H44" i="57"/>
  <c r="H41" i="57"/>
  <c r="H40" i="57"/>
  <c r="K39" i="57"/>
  <c r="K45" i="57" s="1"/>
  <c r="AD43" i="57"/>
  <c r="AG36" i="57"/>
  <c r="AF40" i="57"/>
  <c r="AF42" i="57" s="1"/>
  <c r="L38" i="57" s="1"/>
  <c r="E39" i="57"/>
  <c r="D44" i="57"/>
  <c r="D41" i="57"/>
  <c r="D40" i="57"/>
  <c r="C57" i="57"/>
  <c r="AB42" i="57"/>
  <c r="F38" i="57" s="1"/>
  <c r="AC42" i="57"/>
  <c r="G38" i="57" s="1"/>
  <c r="Q24" i="35"/>
  <c r="I24" i="35"/>
  <c r="J24" i="35" s="1"/>
  <c r="B27" i="35"/>
  <c r="B26" i="35"/>
  <c r="I51" i="35"/>
  <c r="I50" i="35"/>
  <c r="A60" i="35"/>
  <c r="AA43" i="57" l="1"/>
  <c r="E45" i="57"/>
  <c r="AG43" i="58"/>
  <c r="M45" i="58"/>
  <c r="AG43" i="54"/>
  <c r="M45" i="54"/>
  <c r="AG43" i="59"/>
  <c r="M45" i="59"/>
  <c r="M41" i="53"/>
  <c r="M45" i="53"/>
  <c r="M40" i="53"/>
  <c r="AG43" i="53"/>
  <c r="M44" i="53"/>
  <c r="H49" i="53"/>
  <c r="H57" i="53" s="1"/>
  <c r="G49" i="59"/>
  <c r="G57" i="59" s="1"/>
  <c r="G49" i="56"/>
  <c r="G57" i="56" s="1"/>
  <c r="H49" i="58"/>
  <c r="H57" i="58" s="1"/>
  <c r="AI38" i="53"/>
  <c r="AH40" i="53"/>
  <c r="AH42" i="53" s="1"/>
  <c r="N38" i="53" s="1"/>
  <c r="N39" i="53" s="1"/>
  <c r="H49" i="60"/>
  <c r="H57" i="60" s="1"/>
  <c r="N39" i="54"/>
  <c r="AJ36" i="54"/>
  <c r="AJ40" i="54" s="1"/>
  <c r="AI40" i="54"/>
  <c r="AI42" i="54" s="1"/>
  <c r="O38" i="54" s="1"/>
  <c r="M44" i="54"/>
  <c r="M41" i="54"/>
  <c r="M40" i="54"/>
  <c r="AJ36" i="56"/>
  <c r="AJ40" i="56" s="1"/>
  <c r="AI40" i="56"/>
  <c r="AI42" i="56" s="1"/>
  <c r="O38" i="56" s="1"/>
  <c r="F49" i="56"/>
  <c r="F57" i="56" s="1"/>
  <c r="M44" i="56"/>
  <c r="M41" i="56"/>
  <c r="M40" i="56"/>
  <c r="AG43" i="56"/>
  <c r="N39" i="56"/>
  <c r="G49" i="55"/>
  <c r="G57" i="55" s="1"/>
  <c r="F49" i="55"/>
  <c r="F57" i="55" s="1"/>
  <c r="N39" i="55"/>
  <c r="M44" i="55"/>
  <c r="M40" i="55"/>
  <c r="M41" i="55"/>
  <c r="AG43" i="55"/>
  <c r="AJ36" i="55"/>
  <c r="AJ40" i="55" s="1"/>
  <c r="AI40" i="55"/>
  <c r="AI42" i="55" s="1"/>
  <c r="O38" i="55" s="1"/>
  <c r="G49" i="60"/>
  <c r="G57" i="60" s="1"/>
  <c r="N39" i="60"/>
  <c r="M44" i="60"/>
  <c r="M41" i="60"/>
  <c r="M40" i="60"/>
  <c r="F49" i="60"/>
  <c r="F57" i="60" s="1"/>
  <c r="AJ36" i="60"/>
  <c r="AJ40" i="60" s="1"/>
  <c r="AI40" i="60"/>
  <c r="AI42" i="60" s="1"/>
  <c r="O38" i="60" s="1"/>
  <c r="AG43" i="60"/>
  <c r="F49" i="59"/>
  <c r="F57" i="59" s="1"/>
  <c r="AJ36" i="59"/>
  <c r="AJ40" i="59" s="1"/>
  <c r="AI40" i="59"/>
  <c r="AI42" i="59" s="1"/>
  <c r="O38" i="59" s="1"/>
  <c r="M44" i="59"/>
  <c r="M41" i="59"/>
  <c r="M40" i="59"/>
  <c r="N39" i="59"/>
  <c r="AJ36" i="58"/>
  <c r="AJ40" i="58" s="1"/>
  <c r="AI40" i="58"/>
  <c r="AI42" i="58" s="1"/>
  <c r="O38" i="58" s="1"/>
  <c r="F49" i="58"/>
  <c r="F57" i="58" s="1"/>
  <c r="N39" i="58"/>
  <c r="N45" i="58" s="1"/>
  <c r="M44" i="58"/>
  <c r="M40" i="58"/>
  <c r="M41" i="58"/>
  <c r="G39" i="57"/>
  <c r="G45" i="57" s="1"/>
  <c r="AG40" i="57"/>
  <c r="AG42" i="57" s="1"/>
  <c r="M38" i="57" s="1"/>
  <c r="AH36" i="57"/>
  <c r="H49" i="57"/>
  <c r="H57" i="57" s="1"/>
  <c r="F39" i="57"/>
  <c r="D49" i="57"/>
  <c r="D57" i="57" s="1"/>
  <c r="E44" i="57"/>
  <c r="E41" i="57"/>
  <c r="E40" i="57"/>
  <c r="K40" i="57"/>
  <c r="K44" i="57"/>
  <c r="K41" i="57"/>
  <c r="L39" i="57"/>
  <c r="AE43" i="57"/>
  <c r="AF43" i="57" l="1"/>
  <c r="L45" i="57"/>
  <c r="AB43" i="57"/>
  <c r="F45" i="57"/>
  <c r="AH43" i="55"/>
  <c r="N45" i="55"/>
  <c r="AH43" i="59"/>
  <c r="N45" i="59"/>
  <c r="N41" i="53"/>
  <c r="N45" i="53"/>
  <c r="AH43" i="60"/>
  <c r="N45" i="60"/>
  <c r="AH43" i="54"/>
  <c r="N45" i="54"/>
  <c r="AH43" i="56"/>
  <c r="N45" i="56"/>
  <c r="G49" i="58"/>
  <c r="G57" i="58" s="1"/>
  <c r="N40" i="53"/>
  <c r="N44" i="53"/>
  <c r="H49" i="59"/>
  <c r="H57" i="59" s="1"/>
  <c r="AH43" i="53"/>
  <c r="K49" i="53"/>
  <c r="K57" i="53" s="1"/>
  <c r="H49" i="55"/>
  <c r="H57" i="55" s="1"/>
  <c r="AJ38" i="53"/>
  <c r="AJ40" i="53" s="1"/>
  <c r="AI40" i="53"/>
  <c r="AI42" i="53" s="1"/>
  <c r="O38" i="53" s="1"/>
  <c r="O39" i="53" s="1"/>
  <c r="AJ42" i="58"/>
  <c r="P38" i="58" s="1"/>
  <c r="P39" i="58" s="1"/>
  <c r="AJ42" i="56"/>
  <c r="P38" i="56" s="1"/>
  <c r="Q38" i="56" s="1"/>
  <c r="AJ42" i="55"/>
  <c r="P38" i="55" s="1"/>
  <c r="P39" i="55" s="1"/>
  <c r="P45" i="55" s="1"/>
  <c r="N40" i="54"/>
  <c r="N44" i="54"/>
  <c r="N41" i="54"/>
  <c r="O39" i="54"/>
  <c r="AJ42" i="54"/>
  <c r="P38" i="54" s="1"/>
  <c r="N40" i="56"/>
  <c r="N44" i="56"/>
  <c r="N41" i="56"/>
  <c r="O39" i="56"/>
  <c r="O39" i="55"/>
  <c r="O45" i="55" s="1"/>
  <c r="N40" i="55"/>
  <c r="N44" i="55"/>
  <c r="N41" i="55"/>
  <c r="AJ42" i="60"/>
  <c r="P38" i="60" s="1"/>
  <c r="P39" i="60" s="1"/>
  <c r="O39" i="60"/>
  <c r="N40" i="60"/>
  <c r="N44" i="60"/>
  <c r="N41" i="60"/>
  <c r="AJ42" i="59"/>
  <c r="P38" i="59" s="1"/>
  <c r="N44" i="59"/>
  <c r="N41" i="59"/>
  <c r="N40" i="59"/>
  <c r="O39" i="59"/>
  <c r="N40" i="58"/>
  <c r="N41" i="58"/>
  <c r="N44" i="58"/>
  <c r="AH43" i="58"/>
  <c r="O39" i="58"/>
  <c r="O45" i="58" s="1"/>
  <c r="K49" i="57"/>
  <c r="K57" i="57" s="1"/>
  <c r="G41" i="57"/>
  <c r="G40" i="57"/>
  <c r="G44" i="57"/>
  <c r="AC43" i="57"/>
  <c r="E49" i="57"/>
  <c r="E57" i="57" s="1"/>
  <c r="AH40" i="57"/>
  <c r="AH42" i="57" s="1"/>
  <c r="N38" i="57" s="1"/>
  <c r="AI36" i="57"/>
  <c r="L41" i="57"/>
  <c r="L40" i="57"/>
  <c r="L44" i="57"/>
  <c r="F40" i="57"/>
  <c r="F41" i="57"/>
  <c r="F44" i="57"/>
  <c r="M39" i="57"/>
  <c r="M45" i="57" s="1"/>
  <c r="F22" i="35"/>
  <c r="F23" i="35" s="1"/>
  <c r="AI43" i="54" l="1"/>
  <c r="O45" i="54"/>
  <c r="AI43" i="56"/>
  <c r="O45" i="56"/>
  <c r="AI43" i="59"/>
  <c r="O45" i="59"/>
  <c r="AI43" i="60"/>
  <c r="O45" i="60"/>
  <c r="AJ43" i="60"/>
  <c r="P45" i="60"/>
  <c r="AJ43" i="58"/>
  <c r="P45" i="58"/>
  <c r="AI43" i="53"/>
  <c r="O45" i="53"/>
  <c r="Q38" i="58"/>
  <c r="O41" i="53"/>
  <c r="O44" i="53"/>
  <c r="O40" i="53"/>
  <c r="K49" i="59"/>
  <c r="K57" i="59" s="1"/>
  <c r="Q38" i="60"/>
  <c r="Q39" i="58"/>
  <c r="G27" i="34" s="1"/>
  <c r="I27" i="34" s="1"/>
  <c r="K49" i="60"/>
  <c r="K57" i="60" s="1"/>
  <c r="K49" i="55"/>
  <c r="K57" i="55" s="1"/>
  <c r="L49" i="53"/>
  <c r="L57" i="53" s="1"/>
  <c r="K49" i="58"/>
  <c r="K57" i="58" s="1"/>
  <c r="AJ42" i="53"/>
  <c r="P38" i="53" s="1"/>
  <c r="H49" i="56"/>
  <c r="H57" i="56" s="1"/>
  <c r="Q38" i="55"/>
  <c r="P39" i="56"/>
  <c r="O40" i="54"/>
  <c r="O41" i="54"/>
  <c r="O44" i="54"/>
  <c r="P39" i="54"/>
  <c r="P45" i="54" s="1"/>
  <c r="Q38" i="54"/>
  <c r="O40" i="56"/>
  <c r="O41" i="56"/>
  <c r="O44" i="56"/>
  <c r="P41" i="55"/>
  <c r="P44" i="55"/>
  <c r="P40" i="55"/>
  <c r="Q39" i="55"/>
  <c r="O40" i="55"/>
  <c r="O41" i="55"/>
  <c r="O44" i="55"/>
  <c r="AJ43" i="55"/>
  <c r="AI43" i="55"/>
  <c r="P41" i="60"/>
  <c r="P44" i="60"/>
  <c r="P40" i="60"/>
  <c r="Q39" i="60"/>
  <c r="O40" i="60"/>
  <c r="O41" i="60"/>
  <c r="O44" i="60"/>
  <c r="O40" i="59"/>
  <c r="O41" i="59"/>
  <c r="O44" i="59"/>
  <c r="P39" i="59"/>
  <c r="P45" i="59" s="1"/>
  <c r="Q38" i="59"/>
  <c r="AI43" i="58"/>
  <c r="AK43" i="58" s="1"/>
  <c r="P41" i="58"/>
  <c r="P44" i="58"/>
  <c r="P40" i="58"/>
  <c r="O40" i="58"/>
  <c r="O41" i="58"/>
  <c r="O44" i="58"/>
  <c r="G49" i="57"/>
  <c r="G57" i="57" s="1"/>
  <c r="F49" i="57"/>
  <c r="F57" i="57" s="1"/>
  <c r="M44" i="57"/>
  <c r="M41" i="57"/>
  <c r="M40" i="57"/>
  <c r="L49" i="57"/>
  <c r="L57" i="57" s="1"/>
  <c r="N39" i="57"/>
  <c r="AG43" i="57"/>
  <c r="AJ36" i="57"/>
  <c r="AJ40" i="57" s="1"/>
  <c r="AI40" i="57"/>
  <c r="AI42" i="57" s="1"/>
  <c r="O38" i="57" s="1"/>
  <c r="H35" i="26" l="1"/>
  <c r="H33" i="26"/>
  <c r="H29" i="26"/>
  <c r="AK43" i="60"/>
  <c r="AJ43" i="56"/>
  <c r="AK43" i="56" s="1"/>
  <c r="P45" i="56"/>
  <c r="AH43" i="57"/>
  <c r="N45" i="57"/>
  <c r="AK43" i="55"/>
  <c r="P41" i="56"/>
  <c r="Q41" i="56" s="1"/>
  <c r="P40" i="56"/>
  <c r="Q40" i="56" s="1"/>
  <c r="P44" i="56"/>
  <c r="Q44" i="56" s="1"/>
  <c r="R44" i="50" s="1"/>
  <c r="M49" i="58"/>
  <c r="M57" i="58" s="1"/>
  <c r="M49" i="55"/>
  <c r="M57" i="55" s="1"/>
  <c r="M49" i="59"/>
  <c r="M57" i="59" s="1"/>
  <c r="Q38" i="53"/>
  <c r="P39" i="53"/>
  <c r="K49" i="56"/>
  <c r="K57" i="56" s="1"/>
  <c r="M49" i="53"/>
  <c r="M57" i="53" s="1"/>
  <c r="L49" i="60"/>
  <c r="L57" i="60" s="1"/>
  <c r="L49" i="59"/>
  <c r="L57" i="59" s="1"/>
  <c r="N49" i="59"/>
  <c r="N57" i="59" s="1"/>
  <c r="L49" i="58"/>
  <c r="L57" i="58" s="1"/>
  <c r="N49" i="58"/>
  <c r="N57" i="58" s="1"/>
  <c r="L49" i="55"/>
  <c r="L57" i="55" s="1"/>
  <c r="N49" i="55"/>
  <c r="N57" i="55" s="1"/>
  <c r="N49" i="53"/>
  <c r="N57" i="53" s="1"/>
  <c r="Q40" i="55"/>
  <c r="Q41" i="60"/>
  <c r="G33" i="34"/>
  <c r="I33" i="34" s="1"/>
  <c r="Q39" i="56"/>
  <c r="H37" i="26" s="1"/>
  <c r="G31" i="34"/>
  <c r="I31" i="34" s="1"/>
  <c r="Q44" i="55"/>
  <c r="R44" i="49" s="1"/>
  <c r="Q41" i="55"/>
  <c r="P41" i="54"/>
  <c r="Q41" i="54" s="1"/>
  <c r="P44" i="54"/>
  <c r="Q44" i="54" s="1"/>
  <c r="R44" i="52" s="1"/>
  <c r="P40" i="54"/>
  <c r="Q39" i="54"/>
  <c r="H41" i="26" s="1"/>
  <c r="AJ43" i="54"/>
  <c r="AK43" i="54" s="1"/>
  <c r="Q40" i="60"/>
  <c r="Q44" i="60"/>
  <c r="R44" i="48" s="1"/>
  <c r="P41" i="59"/>
  <c r="Q41" i="59" s="1"/>
  <c r="P40" i="59"/>
  <c r="P44" i="59"/>
  <c r="Q44" i="59" s="1"/>
  <c r="R44" i="47" s="1"/>
  <c r="Q39" i="59"/>
  <c r="H31" i="26" s="1"/>
  <c r="AJ43" i="59"/>
  <c r="AK43" i="59" s="1"/>
  <c r="Q40" i="58"/>
  <c r="Q41" i="58"/>
  <c r="Q44" i="58"/>
  <c r="R44" i="46" s="1"/>
  <c r="AJ42" i="57"/>
  <c r="P38" i="57" s="1"/>
  <c r="Q38" i="57" s="1"/>
  <c r="O39" i="57"/>
  <c r="N44" i="57"/>
  <c r="N41" i="57"/>
  <c r="N40" i="57"/>
  <c r="M49" i="57"/>
  <c r="M57" i="57" s="1"/>
  <c r="AJ43" i="53" l="1"/>
  <c r="AK43" i="53" s="1"/>
  <c r="P45" i="53"/>
  <c r="AI43" i="57"/>
  <c r="O45" i="57"/>
  <c r="R42" i="50"/>
  <c r="R48" i="50" s="1"/>
  <c r="R42" i="49"/>
  <c r="R48" i="49" s="1"/>
  <c r="M49" i="60"/>
  <c r="M57" i="60" s="1"/>
  <c r="O49" i="53"/>
  <c r="O57" i="53" s="1"/>
  <c r="L49" i="56"/>
  <c r="L57" i="56" s="1"/>
  <c r="M49" i="56"/>
  <c r="M57" i="56" s="1"/>
  <c r="P41" i="53"/>
  <c r="Q41" i="53" s="1"/>
  <c r="P44" i="53"/>
  <c r="Q44" i="53" s="1"/>
  <c r="R44" i="51" s="1"/>
  <c r="P40" i="53"/>
  <c r="Q39" i="53"/>
  <c r="G37" i="34" s="1"/>
  <c r="I37" i="34" s="1"/>
  <c r="P49" i="58"/>
  <c r="P57" i="58" s="1"/>
  <c r="P49" i="55"/>
  <c r="P57" i="55" s="1"/>
  <c r="R42" i="48"/>
  <c r="R48" i="48" s="1"/>
  <c r="G29" i="34"/>
  <c r="I29" i="34" s="1"/>
  <c r="R42" i="46"/>
  <c r="R48" i="46" s="1"/>
  <c r="G39" i="34"/>
  <c r="I39" i="34" s="1"/>
  <c r="G35" i="34"/>
  <c r="I35" i="34" s="1"/>
  <c r="Q40" i="54"/>
  <c r="R42" i="52" s="1"/>
  <c r="R48" i="52" s="1"/>
  <c r="Q40" i="59"/>
  <c r="R42" i="47" s="1"/>
  <c r="R48" i="47" s="1"/>
  <c r="P39" i="57"/>
  <c r="N49" i="57"/>
  <c r="N57" i="57" s="1"/>
  <c r="O40" i="57"/>
  <c r="O41" i="57"/>
  <c r="O44" i="57"/>
  <c r="T9" i="35"/>
  <c r="H39" i="26" l="1"/>
  <c r="AJ43" i="57"/>
  <c r="AK43" i="57" s="1"/>
  <c r="P45" i="57"/>
  <c r="Q45" i="57" s="1"/>
  <c r="Q45" i="53"/>
  <c r="N49" i="56"/>
  <c r="N57" i="56" s="1"/>
  <c r="O49" i="59"/>
  <c r="O57" i="59" s="1"/>
  <c r="N49" i="60"/>
  <c r="N57" i="60" s="1"/>
  <c r="P49" i="53"/>
  <c r="P57" i="53" s="1"/>
  <c r="Q40" i="53"/>
  <c r="R42" i="51" s="1"/>
  <c r="R48" i="51" s="1"/>
  <c r="Q45" i="58"/>
  <c r="O49" i="58"/>
  <c r="O57" i="58" s="1"/>
  <c r="O49" i="60"/>
  <c r="O57" i="60" s="1"/>
  <c r="Q45" i="55"/>
  <c r="O49" i="55"/>
  <c r="O57" i="55" s="1"/>
  <c r="P41" i="57"/>
  <c r="Q41" i="57" s="1"/>
  <c r="P40" i="57"/>
  <c r="P44" i="57"/>
  <c r="Q44" i="57" s="1"/>
  <c r="R44" i="45" s="1"/>
  <c r="Q39" i="57"/>
  <c r="H27" i="26" s="1"/>
  <c r="O49" i="57"/>
  <c r="O57" i="57" s="1"/>
  <c r="O49" i="56" l="1"/>
  <c r="O57" i="56" s="1"/>
  <c r="P49" i="56"/>
  <c r="P57" i="56" s="1"/>
  <c r="Q49" i="58"/>
  <c r="Q57" i="58"/>
  <c r="Q57" i="53"/>
  <c r="Q49" i="53"/>
  <c r="Q57" i="55"/>
  <c r="Q49" i="55"/>
  <c r="Q45" i="59"/>
  <c r="P49" i="59"/>
  <c r="P57" i="59" s="1"/>
  <c r="P49" i="60"/>
  <c r="P57" i="60" s="1"/>
  <c r="G25" i="34"/>
  <c r="I25" i="34" s="1"/>
  <c r="P49" i="57"/>
  <c r="P57" i="57" s="1"/>
  <c r="Q40" i="57"/>
  <c r="R42" i="45" s="1"/>
  <c r="R48" i="45" s="1"/>
  <c r="C48" i="35"/>
  <c r="Q45" i="56" l="1"/>
  <c r="Q57" i="60"/>
  <c r="Q49" i="56"/>
  <c r="Q57" i="59"/>
  <c r="Q49" i="59"/>
  <c r="Q49" i="60"/>
  <c r="Q45" i="60"/>
  <c r="Q57" i="56"/>
  <c r="Q57" i="57"/>
  <c r="Q49" i="57"/>
  <c r="AH35" i="35"/>
  <c r="Z13" i="35" l="1"/>
  <c r="Z12" i="35"/>
  <c r="Z11" i="35"/>
  <c r="Q33" i="35" l="1"/>
  <c r="P48" i="35" l="1"/>
  <c r="O48" i="35"/>
  <c r="N48" i="35"/>
  <c r="M48" i="35"/>
  <c r="L48" i="35"/>
  <c r="K48" i="35"/>
  <c r="H48" i="35"/>
  <c r="G48" i="35"/>
  <c r="F48" i="35"/>
  <c r="E48" i="35"/>
  <c r="D48" i="35"/>
  <c r="B28" i="35" l="1"/>
  <c r="H22" i="35"/>
  <c r="H23" i="35" s="1"/>
  <c r="AF35" i="35"/>
  <c r="AI35" i="35"/>
  <c r="AJ35" i="35"/>
  <c r="AE35" i="35"/>
  <c r="AD35" i="35"/>
  <c r="AC35" i="35"/>
  <c r="Y35" i="35"/>
  <c r="Z35" i="35"/>
  <c r="E10" i="35" l="1"/>
  <c r="B29" i="35" l="1"/>
  <c r="L14" i="35"/>
  <c r="K14" i="35" s="1"/>
  <c r="I14" i="35"/>
  <c r="I12" i="35"/>
  <c r="M14" i="35" l="1"/>
  <c r="M15" i="35" s="1"/>
  <c r="I33" i="35" l="1"/>
  <c r="P29" i="35" l="1"/>
  <c r="O29" i="35"/>
  <c r="N29" i="35"/>
  <c r="M29" i="35"/>
  <c r="L29" i="35"/>
  <c r="K29" i="35"/>
  <c r="H29" i="35"/>
  <c r="G29" i="35"/>
  <c r="F29" i="35"/>
  <c r="E29" i="35"/>
  <c r="D29" i="35"/>
  <c r="C29" i="35"/>
  <c r="A30" i="35" l="1"/>
  <c r="B30" i="35" s="1"/>
  <c r="A23" i="35"/>
  <c r="B23" i="35" s="1"/>
  <c r="I23" i="35" l="1"/>
  <c r="J23" i="35" s="1"/>
  <c r="A21" i="35"/>
  <c r="H21" i="26" s="1"/>
  <c r="L1" i="35"/>
  <c r="B7" i="44" l="1"/>
  <c r="G17" i="34"/>
  <c r="AB35" i="35"/>
  <c r="AA35" i="35"/>
  <c r="H27" i="34" l="1"/>
  <c r="H31" i="34"/>
  <c r="H35" i="34"/>
  <c r="H37" i="34"/>
  <c r="H33" i="34"/>
  <c r="H39" i="34"/>
  <c r="H29" i="34"/>
  <c r="H25" i="34"/>
  <c r="Y36" i="35"/>
  <c r="Z36" i="35" l="1"/>
  <c r="AA36" i="35" s="1"/>
  <c r="AB36" i="35" s="1"/>
  <c r="AC36" i="35" s="1"/>
  <c r="AD36" i="35" l="1"/>
  <c r="AE36" i="35" l="1"/>
  <c r="D71" i="44" l="1"/>
  <c r="C22" i="35" l="1"/>
  <c r="P22" i="35"/>
  <c r="P23" i="35" l="1"/>
  <c r="C23" i="35"/>
  <c r="A46" i="35"/>
  <c r="B46" i="35" s="1"/>
  <c r="Q60" i="35" l="1"/>
  <c r="P60" i="35"/>
  <c r="O60" i="35"/>
  <c r="N60" i="35"/>
  <c r="M60" i="35"/>
  <c r="L60" i="35"/>
  <c r="K60" i="35"/>
  <c r="H60" i="35"/>
  <c r="G60" i="35"/>
  <c r="F60" i="35"/>
  <c r="E60" i="35"/>
  <c r="D60" i="35"/>
  <c r="C60" i="35"/>
  <c r="I64" i="35"/>
  <c r="I62" i="35"/>
  <c r="I61" i="35"/>
  <c r="I60" i="35"/>
  <c r="Q62" i="35" l="1"/>
  <c r="Q61" i="35"/>
  <c r="M12" i="35" l="1"/>
  <c r="S31" i="35" s="1"/>
  <c r="I29" i="35" l="1"/>
  <c r="J29" i="35" s="1"/>
  <c r="I27" i="35"/>
  <c r="J27" i="35" s="1"/>
  <c r="I28" i="35"/>
  <c r="J28" i="35" s="1"/>
  <c r="I26" i="35"/>
  <c r="J26" i="35" s="1"/>
  <c r="Q36" i="35"/>
  <c r="J23" i="34" s="1"/>
  <c r="Q35" i="35"/>
  <c r="Q34" i="35"/>
  <c r="Q32" i="35"/>
  <c r="Q31" i="35"/>
  <c r="Q28" i="35"/>
  <c r="Q25" i="35"/>
  <c r="I30" i="35"/>
  <c r="J30" i="35" s="1"/>
  <c r="B22" i="35"/>
  <c r="M9" i="35"/>
  <c r="M10" i="35" s="1"/>
  <c r="E30" i="35" l="1"/>
  <c r="D30" i="35"/>
  <c r="O30" i="35"/>
  <c r="F30" i="35"/>
  <c r="AB37" i="35" s="1"/>
  <c r="K30" i="35"/>
  <c r="P30" i="35"/>
  <c r="AJ37" i="35" s="1"/>
  <c r="N30" i="35"/>
  <c r="M30" i="35"/>
  <c r="H30" i="35"/>
  <c r="AD37" i="35" s="1"/>
  <c r="L30" i="35"/>
  <c r="G30" i="35"/>
  <c r="C30" i="35"/>
  <c r="Y37" i="35" s="1"/>
  <c r="Q27" i="35"/>
  <c r="Q29" i="35"/>
  <c r="I5" i="34"/>
  <c r="C37" i="35" l="1"/>
  <c r="C42" i="35" s="1"/>
  <c r="F37" i="35"/>
  <c r="F42" i="35" s="1"/>
  <c r="P37" i="35"/>
  <c r="P43" i="35" s="1"/>
  <c r="P42" i="35" l="1"/>
  <c r="C43" i="35"/>
  <c r="F43" i="35"/>
  <c r="N22" i="35"/>
  <c r="M22" i="35"/>
  <c r="L22" i="35"/>
  <c r="K22" i="35"/>
  <c r="G22" i="35"/>
  <c r="E22" i="35"/>
  <c r="D22" i="35"/>
  <c r="O22" i="35"/>
  <c r="E23" i="35" l="1"/>
  <c r="AA37" i="35" s="1"/>
  <c r="G23" i="35"/>
  <c r="AC37" i="35" s="1"/>
  <c r="N23" i="35"/>
  <c r="AH37" i="35" s="1"/>
  <c r="K23" i="35"/>
  <c r="AE37" i="35" s="1"/>
  <c r="O23" i="35"/>
  <c r="AI37" i="35" s="1"/>
  <c r="D23" i="35"/>
  <c r="Z37" i="35" s="1"/>
  <c r="L23" i="35"/>
  <c r="AF37" i="35" s="1"/>
  <c r="M23" i="35"/>
  <c r="AG37" i="35" s="1"/>
  <c r="H37" i="35"/>
  <c r="Y38" i="35"/>
  <c r="Q22" i="35"/>
  <c r="B5" i="44"/>
  <c r="M77" i="44"/>
  <c r="D37" i="35" l="1"/>
  <c r="D43" i="35" s="1"/>
  <c r="E37" i="35"/>
  <c r="E43" i="35" s="1"/>
  <c r="N37" i="35"/>
  <c r="N43" i="35" s="1"/>
  <c r="L37" i="35"/>
  <c r="L42" i="35" s="1"/>
  <c r="G37" i="35"/>
  <c r="G43" i="35" s="1"/>
  <c r="K37" i="35"/>
  <c r="K42" i="35" s="1"/>
  <c r="O37" i="35"/>
  <c r="O42" i="35" s="1"/>
  <c r="M37" i="35"/>
  <c r="M43" i="35" s="1"/>
  <c r="H43" i="35"/>
  <c r="H42" i="35"/>
  <c r="Q23" i="35"/>
  <c r="Z38" i="35"/>
  <c r="AA38" i="35" s="1"/>
  <c r="AB38" i="35" s="1"/>
  <c r="AC38" i="35" s="1"/>
  <c r="Y40" i="35"/>
  <c r="Y42" i="35" s="1"/>
  <c r="Q30" i="35"/>
  <c r="AD10" i="35"/>
  <c r="AD9" i="35"/>
  <c r="D42" i="35" l="1"/>
  <c r="E42" i="35"/>
  <c r="K43" i="35"/>
  <c r="O43" i="35"/>
  <c r="L43" i="35"/>
  <c r="N42" i="35"/>
  <c r="G42" i="35"/>
  <c r="M42" i="35"/>
  <c r="Q37" i="35"/>
  <c r="AD6" i="35"/>
  <c r="Z40" i="35"/>
  <c r="AD38" i="35"/>
  <c r="AC40" i="35"/>
  <c r="AD7" i="35"/>
  <c r="AD8" i="35"/>
  <c r="L13" i="44"/>
  <c r="L12" i="44"/>
  <c r="L11" i="44"/>
  <c r="M81" i="44"/>
  <c r="M79" i="44"/>
  <c r="G26" i="26" l="1"/>
  <c r="F26" i="26"/>
  <c r="AE38" i="35"/>
  <c r="AD40" i="35"/>
  <c r="AD42" i="35" s="1"/>
  <c r="Z42" i="35"/>
  <c r="AA40" i="35"/>
  <c r="AE40" i="35" l="1"/>
  <c r="AE42" i="35" s="1"/>
  <c r="AA42" i="35"/>
  <c r="AB40" i="35"/>
  <c r="AB42" i="35" l="1"/>
  <c r="AC42" i="35"/>
  <c r="A17" i="35"/>
  <c r="D17" i="35" s="1"/>
  <c r="S24" i="54" l="1"/>
  <c r="W25" i="54" s="1"/>
  <c r="S24" i="59"/>
  <c r="W25" i="59" s="1"/>
  <c r="W45" i="59" s="1"/>
  <c r="S24" i="56"/>
  <c r="W25" i="56" s="1"/>
  <c r="W45" i="56" s="1"/>
  <c r="S24" i="55"/>
  <c r="W25" i="55" s="1"/>
  <c r="W45" i="55" s="1"/>
  <c r="S24" i="60"/>
  <c r="W25" i="60" s="1"/>
  <c r="W45" i="60" s="1"/>
  <c r="S24" i="58"/>
  <c r="W25" i="58" s="1"/>
  <c r="W45" i="58" s="1"/>
  <c r="S24" i="57"/>
  <c r="W25" i="57" s="1"/>
  <c r="S24" i="53"/>
  <c r="W25" i="53" s="1"/>
  <c r="W45" i="53" s="1"/>
  <c r="U4" i="57"/>
  <c r="U4" i="53"/>
  <c r="U4" i="60"/>
  <c r="U4" i="56"/>
  <c r="S24" i="35"/>
  <c r="W25" i="35" s="1"/>
  <c r="U4" i="59"/>
  <c r="U4" i="58"/>
  <c r="U4" i="55"/>
  <c r="U4" i="54" l="1"/>
  <c r="V4" i="54" s="1"/>
  <c r="C45" i="54"/>
  <c r="D45" i="54"/>
  <c r="D49" i="54" s="1"/>
  <c r="D57" i="54" s="1"/>
  <c r="E45" i="54"/>
  <c r="E49" i="54" s="1"/>
  <c r="E57" i="54" s="1"/>
  <c r="F45" i="54"/>
  <c r="G45" i="54"/>
  <c r="G1" i="53"/>
  <c r="P1" i="53"/>
  <c r="P1" i="55"/>
  <c r="G1" i="55"/>
  <c r="P1" i="56"/>
  <c r="G1" i="56"/>
  <c r="P1" i="58"/>
  <c r="G1" i="58"/>
  <c r="G1" i="59"/>
  <c r="P1" i="59"/>
  <c r="G1" i="60"/>
  <c r="P1" i="60"/>
  <c r="V4" i="58"/>
  <c r="V4" i="56"/>
  <c r="V4" i="59"/>
  <c r="V4" i="55"/>
  <c r="V4" i="60"/>
  <c r="V4" i="53"/>
  <c r="H49" i="54"/>
  <c r="H57" i="54" s="1"/>
  <c r="M49" i="54"/>
  <c r="M57" i="54" s="1"/>
  <c r="N49" i="54"/>
  <c r="N57" i="54" s="1"/>
  <c r="O49" i="54"/>
  <c r="O57" i="54" s="1"/>
  <c r="P49" i="54"/>
  <c r="P57" i="54" s="1"/>
  <c r="V4" i="57"/>
  <c r="B45" i="35"/>
  <c r="Q52" i="35"/>
  <c r="I52" i="35"/>
  <c r="I49" i="35"/>
  <c r="I48" i="35"/>
  <c r="Q47" i="35"/>
  <c r="I47" i="35"/>
  <c r="Q46" i="35"/>
  <c r="R50" i="44" s="1"/>
  <c r="I39" i="35"/>
  <c r="I38" i="35"/>
  <c r="I37" i="35"/>
  <c r="I36" i="35"/>
  <c r="I35" i="35"/>
  <c r="I34" i="35"/>
  <c r="I32" i="35"/>
  <c r="R23" i="44"/>
  <c r="I31" i="35"/>
  <c r="L49" i="54" l="1"/>
  <c r="L57" i="54" s="1"/>
  <c r="K49" i="54"/>
  <c r="K57" i="54" s="1"/>
  <c r="B45" i="56"/>
  <c r="I45" i="56"/>
  <c r="J45" i="56" s="1"/>
  <c r="I45" i="53"/>
  <c r="J45" i="53" s="1"/>
  <c r="B45" i="53"/>
  <c r="B45" i="55"/>
  <c r="I45" i="55"/>
  <c r="J45" i="55" s="1"/>
  <c r="G49" i="54"/>
  <c r="G57" i="54" s="1"/>
  <c r="F49" i="54"/>
  <c r="F57" i="54" s="1"/>
  <c r="C49" i="54"/>
  <c r="I45" i="60"/>
  <c r="J45" i="60" s="1"/>
  <c r="B45" i="60"/>
  <c r="B45" i="59"/>
  <c r="I45" i="59"/>
  <c r="J45" i="59" s="1"/>
  <c r="B45" i="57"/>
  <c r="I45" i="57"/>
  <c r="J45" i="57" s="1"/>
  <c r="I45" i="54"/>
  <c r="J45" i="54" s="1"/>
  <c r="B45" i="54"/>
  <c r="B45" i="58"/>
  <c r="I45" i="58"/>
  <c r="J45" i="58" s="1"/>
  <c r="I45" i="35"/>
  <c r="J45" i="35" s="1"/>
  <c r="Q48" i="35"/>
  <c r="C57" i="54" l="1"/>
  <c r="Q57" i="54" s="1"/>
  <c r="Q49" i="54"/>
  <c r="Q45" i="54"/>
  <c r="C23" i="34"/>
  <c r="A23" i="34"/>
  <c r="C22" i="34"/>
  <c r="I58" i="35" l="1"/>
  <c r="I57" i="35"/>
  <c r="I56" i="35"/>
  <c r="P55" i="35"/>
  <c r="O55" i="35"/>
  <c r="N55" i="35"/>
  <c r="M55" i="35"/>
  <c r="L55" i="35"/>
  <c r="K55" i="35"/>
  <c r="I55" i="35"/>
  <c r="H55" i="35"/>
  <c r="G55" i="35"/>
  <c r="F55" i="35"/>
  <c r="E55" i="35"/>
  <c r="D55" i="35"/>
  <c r="C55" i="35"/>
  <c r="Q54" i="35"/>
  <c r="I46" i="35"/>
  <c r="J46" i="35" s="1"/>
  <c r="A44" i="35"/>
  <c r="I44" i="35" s="1"/>
  <c r="A43" i="35"/>
  <c r="I43" i="35" s="1"/>
  <c r="A42" i="35"/>
  <c r="I42" i="35" s="1"/>
  <c r="AJ34" i="35"/>
  <c r="AI34" i="35"/>
  <c r="AH34" i="35"/>
  <c r="AG34" i="35"/>
  <c r="AF34" i="35"/>
  <c r="AE34" i="35"/>
  <c r="AD34" i="35"/>
  <c r="AC34" i="35"/>
  <c r="AB34" i="35"/>
  <c r="AA34" i="35"/>
  <c r="Z34" i="35"/>
  <c r="Y34" i="35"/>
  <c r="I25" i="35"/>
  <c r="J25" i="35" s="1"/>
  <c r="I22" i="35"/>
  <c r="J22" i="35" s="1"/>
  <c r="I21" i="35"/>
  <c r="Y14" i="35"/>
  <c r="U2" i="35"/>
  <c r="Y12" i="35"/>
  <c r="Y11" i="35"/>
  <c r="K9" i="35"/>
  <c r="I9" i="35"/>
  <c r="AC6" i="35"/>
  <c r="S36" i="35" s="1"/>
  <c r="Q4" i="35"/>
  <c r="H4" i="35"/>
  <c r="I2" i="35"/>
  <c r="I1" i="35"/>
  <c r="S33" i="35" l="1"/>
  <c r="W34" i="35" s="1"/>
  <c r="S28" i="35"/>
  <c r="W29" i="35" s="1"/>
  <c r="W37" i="35"/>
  <c r="A40" i="35"/>
  <c r="I40" i="35" s="1"/>
  <c r="W32" i="35"/>
  <c r="A41" i="35"/>
  <c r="I41" i="35" s="1"/>
  <c r="AF36" i="35"/>
  <c r="AF38" i="35"/>
  <c r="AG38" i="35" s="1"/>
  <c r="AH38" i="35" s="1"/>
  <c r="AI38" i="35" s="1"/>
  <c r="AJ38" i="35" s="1"/>
  <c r="AG7" i="35"/>
  <c r="Y15" i="35"/>
  <c r="Q56" i="35"/>
  <c r="Z14" i="35"/>
  <c r="U4" i="35" s="1"/>
  <c r="V4" i="35" l="1"/>
  <c r="AG36" i="35"/>
  <c r="AF40" i="35"/>
  <c r="AF42" i="35" s="1"/>
  <c r="AH36" i="35" l="1"/>
  <c r="AG40" i="35"/>
  <c r="AG42" i="35" s="1"/>
  <c r="Q26" i="35"/>
  <c r="AI36" i="35" l="1"/>
  <c r="AH40" i="35"/>
  <c r="AH42" i="35" s="1"/>
  <c r="N38" i="35" s="1"/>
  <c r="J41" i="34"/>
  <c r="AJ36" i="35" l="1"/>
  <c r="AJ40" i="35" s="1"/>
  <c r="AI40" i="35"/>
  <c r="AI42" i="35" s="1"/>
  <c r="R21" i="44"/>
  <c r="R40" i="44" s="1"/>
  <c r="F23" i="34"/>
  <c r="E23" i="34"/>
  <c r="Q42" i="35"/>
  <c r="Q43" i="35"/>
  <c r="I7" i="44"/>
  <c r="F7" i="44"/>
  <c r="C39" i="35" l="1"/>
  <c r="C40" i="35" s="1"/>
  <c r="AJ42" i="35"/>
  <c r="D38" i="35"/>
  <c r="H38" i="35"/>
  <c r="C45" i="35" l="1"/>
  <c r="C41" i="35"/>
  <c r="Y43" i="35"/>
  <c r="C44" i="35"/>
  <c r="C58" i="35" s="1"/>
  <c r="D39" i="35"/>
  <c r="H39" i="35"/>
  <c r="H45" i="35" s="1"/>
  <c r="E38" i="35"/>
  <c r="D45" i="35" l="1"/>
  <c r="D41" i="35"/>
  <c r="H41" i="35"/>
  <c r="Z43" i="35"/>
  <c r="AD43" i="35"/>
  <c r="C49" i="35"/>
  <c r="C51" i="35" s="1"/>
  <c r="H44" i="35"/>
  <c r="H58" i="35" s="1"/>
  <c r="H40" i="35"/>
  <c r="E39" i="35"/>
  <c r="E45" i="35" s="1"/>
  <c r="D44" i="35"/>
  <c r="D58" i="35" s="1"/>
  <c r="D40" i="35"/>
  <c r="K38" i="35"/>
  <c r="G38" i="35"/>
  <c r="F38" i="35"/>
  <c r="L38" i="35"/>
  <c r="E41" i="35" l="1"/>
  <c r="C57" i="35"/>
  <c r="AA43" i="35"/>
  <c r="D49" i="35"/>
  <c r="L39" i="35"/>
  <c r="L45" i="35" s="1"/>
  <c r="F39" i="35"/>
  <c r="F45" i="35" s="1"/>
  <c r="K39" i="35"/>
  <c r="K45" i="35" s="1"/>
  <c r="E44" i="35"/>
  <c r="E58" i="35" s="1"/>
  <c r="E40" i="35"/>
  <c r="G39" i="35"/>
  <c r="G45" i="35" s="1"/>
  <c r="M38" i="35"/>
  <c r="D51" i="35" l="1"/>
  <c r="D57" i="35"/>
  <c r="AC43" i="35"/>
  <c r="L41" i="35"/>
  <c r="AE43" i="35"/>
  <c r="F41" i="35"/>
  <c r="AF43" i="35"/>
  <c r="AB43" i="35"/>
  <c r="G41" i="35"/>
  <c r="G44" i="35"/>
  <c r="G58" i="35" s="1"/>
  <c r="K41" i="35"/>
  <c r="E49" i="35"/>
  <c r="M39" i="35"/>
  <c r="M45" i="35" s="1"/>
  <c r="G40" i="35"/>
  <c r="K44" i="35"/>
  <c r="K58" i="35" s="1"/>
  <c r="K40" i="35"/>
  <c r="F44" i="35"/>
  <c r="F58" i="35" s="1"/>
  <c r="F40" i="35"/>
  <c r="L44" i="35"/>
  <c r="L58" i="35" s="1"/>
  <c r="L40" i="35"/>
  <c r="E51" i="35" l="1"/>
  <c r="E57" i="35"/>
  <c r="M41" i="35"/>
  <c r="AG43" i="35"/>
  <c r="N39" i="35"/>
  <c r="N45" i="35" s="1"/>
  <c r="M44" i="35"/>
  <c r="M58" i="35" s="1"/>
  <c r="M40" i="35"/>
  <c r="O38" i="35"/>
  <c r="N41" i="35" l="1"/>
  <c r="AH43" i="35"/>
  <c r="O39" i="35"/>
  <c r="O45" i="35" s="1"/>
  <c r="N40" i="35"/>
  <c r="N44" i="35"/>
  <c r="N58" i="35" s="1"/>
  <c r="P38" i="35"/>
  <c r="O41" i="35" l="1"/>
  <c r="AI43" i="35"/>
  <c r="P39" i="35"/>
  <c r="P45" i="35" s="1"/>
  <c r="O44" i="35"/>
  <c r="O58" i="35" s="1"/>
  <c r="O40" i="35"/>
  <c r="J40" i="26"/>
  <c r="Q38" i="35"/>
  <c r="J38" i="26"/>
  <c r="J36" i="26"/>
  <c r="J34" i="26"/>
  <c r="P41" i="35" l="1"/>
  <c r="Q41" i="35" s="1"/>
  <c r="AJ43" i="35"/>
  <c r="P44" i="35"/>
  <c r="P58" i="35" s="1"/>
  <c r="P40" i="35"/>
  <c r="Q40" i="35" s="1"/>
  <c r="Q39" i="35"/>
  <c r="J42" i="26"/>
  <c r="H25" i="26" l="1"/>
  <c r="J26" i="26" s="1"/>
  <c r="AK43" i="35"/>
  <c r="H23" i="34" s="1"/>
  <c r="G23" i="34"/>
  <c r="I23" i="34" s="1"/>
  <c r="Q44" i="35"/>
  <c r="R44" i="44" s="1"/>
  <c r="R42" i="44"/>
  <c r="Q58" i="35"/>
  <c r="J32" i="26"/>
  <c r="H43" i="26" l="1"/>
  <c r="AA6" i="54" s="1"/>
  <c r="S20" i="54" s="1"/>
  <c r="W21" i="54" s="1"/>
  <c r="W45" i="54" s="1"/>
  <c r="P1" i="54" s="1"/>
  <c r="R48" i="44"/>
  <c r="J30" i="26"/>
  <c r="AA6" i="57" l="1"/>
  <c r="S20" i="57" s="1"/>
  <c r="W21" i="57" s="1"/>
  <c r="W45" i="57" s="1"/>
  <c r="P1" i="57" s="1"/>
  <c r="AA6" i="35"/>
  <c r="S20" i="35" s="1"/>
  <c r="W21" i="35" s="1"/>
  <c r="W45" i="35" s="1"/>
  <c r="AA6" i="59"/>
  <c r="AA6" i="58"/>
  <c r="AA6" i="55"/>
  <c r="AA6" i="60"/>
  <c r="AA6" i="53"/>
  <c r="AA6" i="56"/>
  <c r="G1" i="54"/>
  <c r="G1" i="57" l="1"/>
  <c r="G1" i="35"/>
  <c r="P1" i="35"/>
  <c r="A18" i="26" l="1"/>
  <c r="G41" i="34"/>
  <c r="I41" i="34"/>
  <c r="H41" i="34"/>
  <c r="J28" i="26"/>
  <c r="H49" i="35" l="1"/>
  <c r="F49" i="35"/>
  <c r="H51" i="35" l="1"/>
  <c r="H57" i="35"/>
  <c r="F51" i="35"/>
  <c r="F57" i="35"/>
  <c r="G49" i="35"/>
  <c r="G51" i="35" l="1"/>
  <c r="G57" i="35"/>
  <c r="K49" i="35"/>
  <c r="K51" i="35" l="1"/>
  <c r="K57" i="35"/>
  <c r="L49" i="35"/>
  <c r="L57" i="35" s="1"/>
  <c r="L51" i="35" l="1"/>
  <c r="N49" i="35" l="1"/>
  <c r="N51" i="35" l="1"/>
  <c r="N57" i="35"/>
  <c r="M49" i="35"/>
  <c r="M57" i="35" s="1"/>
  <c r="M51" i="35" l="1"/>
  <c r="P49" i="35"/>
  <c r="P57" i="35" s="1"/>
  <c r="O49" i="35"/>
  <c r="O57" i="35" s="1"/>
  <c r="P51" i="35" l="1"/>
  <c r="Q49" i="35"/>
  <c r="Q45" i="35"/>
  <c r="O51" i="35"/>
  <c r="Q51" i="35" l="1"/>
  <c r="Q57"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<sst xmlns="http://schemas.openxmlformats.org/spreadsheetml/2006/main" count="2554" uniqueCount="299">
  <si>
    <t>1. Einleitung und Bedienung</t>
  </si>
  <si>
    <t>Diese Lohndaten-Vorlage dient als Hilfsmittel für Teilnehmende im "Berner Modell". Die Datei deckt die meisten Bedürfnisse zum Abrechnen der Löhne ab, kann aber nicht mit einem herkömmlichen Lohnprogramm verglichen werden.
Diese Jahresdatei ist ausgelegt für 9 Assistenzpersonen (=AP). Pro Assistenzperson muss eine Arbeitsmappe (Tabellenblatt) ausgefüllt werden. Wird ein Arbeitsverhältnis beendet, dürfen die Daten weder gelöscht noch überschrieben werden.</t>
  </si>
  <si>
    <t>--&gt;</t>
  </si>
  <si>
    <t xml:space="preserve"> Eingabefelder sind grau hinterlegt.</t>
  </si>
  <si>
    <t xml:space="preserve">Wenn die Eingaben nicht den Regeln entsprechen, widersprüchlich oder unvollständig sind, erscheinen Fehlermeldungen und/oder Hinweise. (Rechts neben der Lohnabrechnung der Blätter "AP1" bis "AP9")
</t>
  </si>
  <si>
    <t>Überprüfen und ändern Sie die Eingaben entsprechend des Textes. Bei Unklarheiten melden Sie sich bitte bei der Koordinationsstelle.</t>
  </si>
  <si>
    <t>Hinweis</t>
  </si>
  <si>
    <t>Fehler</t>
  </si>
  <si>
    <t xml:space="preserve"> Auf keinen Fall dürfen Löhne abgerechnet werden, solange eine Fehlermeldung besteht.</t>
  </si>
  <si>
    <t>2. Stammdaten der Assistenzperson erfassen</t>
  </si>
  <si>
    <t>Vor der ersten Lohnabrechnung des Kalenderjahres, müssen die Personen- und Lohndaten der Assistenzperson vollständig erfasst sein.</t>
  </si>
  <si>
    <t>in Tabellenblätter AP1 bis AP9</t>
  </si>
  <si>
    <t xml:space="preserve">    1. Angaben des Arbeitgebers</t>
  </si>
  <si>
    <t>in Tabellenblatt AP1 - Zelle A1</t>
  </si>
  <si>
    <t xml:space="preserve">    2. Angaben des Arbeitnehmers</t>
  </si>
  <si>
    <t>"Personendaten"</t>
  </si>
  <si>
    <t xml:space="preserve">    3. Angaben des Arbeitsvertrags </t>
  </si>
  <si>
    <t>"Lohndaten": Pensum, Lohn, etc.</t>
  </si>
  <si>
    <t xml:space="preserve">    4. Arbeitnehmerbeiträge der Sozialversicherungen </t>
  </si>
  <si>
    <t>Rechts neben der Lohnabrechnung</t>
  </si>
  <si>
    <r>
      <rPr>
        <b/>
        <sz val="10"/>
        <color rgb="FFFF0000"/>
        <rFont val="Arial"/>
        <family val="2"/>
      </rPr>
      <t>Achtung:</t>
    </r>
    <r>
      <rPr>
        <sz val="10"/>
        <rFont val="Arial"/>
        <family val="2"/>
      </rPr>
      <t xml:space="preserve"> Spätere Anpassungen der Stammdaten verändern auch die bereits abgerechnete Löhne.</t>
    </r>
  </si>
  <si>
    <t>3. Löhne abrechnen</t>
  </si>
  <si>
    <t>Nach Erfassung der Stammdaten können die monatlichen Lohnabrechnungen fortlaufend erstellt werden:</t>
  </si>
  <si>
    <t xml:space="preserve">    1. Erfassung der geleisteten Assistenzstunden (bei Anstellung im Stundenlohn)</t>
  </si>
  <si>
    <t>- Automatische Abzüge von Arbeitnehmerbeiträgen (Beispiel: AHV, ALV, NBU, etc.)</t>
  </si>
  <si>
    <t>- allfällige Lohnabzüge müssen mit Minus-Zeichen erfasst werden (Beispiel: QST ordentlich)</t>
  </si>
  <si>
    <t>- allfällige Zuschläge müssen ohne Vorzeichen erfasst werden (Beispiel: Familienzulagen)</t>
  </si>
  <si>
    <t xml:space="preserve">    2. Auszahlung des Nettolohns an die Assistenzperson</t>
  </si>
  <si>
    <t>gemäss Zeile "Nettolohn auszuzahlen"</t>
  </si>
  <si>
    <t>4. Löhne in "AssistMe" Berner Modell deklarieren (Abrechnung Berner Modell)</t>
  </si>
  <si>
    <t xml:space="preserve">Sobald der Lohn berechnet und der Assistenzperson ausbezahlt wurde, kann dieser beim  Berner Modell deklariert resp. zurückgefordert werden. Übertragen Sie hierzu die Zahlen aus dem gelben Balken unterhalb der Lohnabrechnung in die Webapplikation "AssistMe". </t>
  </si>
  <si>
    <t>AssistMe</t>
  </si>
  <si>
    <t>5. Spezialfälle</t>
  </si>
  <si>
    <t>-</t>
  </si>
  <si>
    <t>Spätere Anpassungen der Stammdaten verändern auch die bereits abgerechnete Löhne.</t>
  </si>
  <si>
    <t xml:space="preserve">Bei Änderungen der Lohn- oder Personendaten der Assistenzperson(en), bitten wir Sie, mit der Koordinationsstelle Berner Modell Kontakt aufzunehmen. </t>
  </si>
  <si>
    <t xml:space="preserve">Die ordentliche Quellensteuer von Arbeitnehmenden mit Ausweis B, L, F, N muss manuell berechnet werden. </t>
  </si>
  <si>
    <t>6. Lohnabschluss (Ende Jahr)</t>
  </si>
  <si>
    <t>Als Arbeitgeber/in müssen Sie für sämtliche Assistenzpersonen per Ende Jahr einen Lohnabschluss machen. Frist für das Einreichen der Lohnbescheinigung bei der Ausgleichskasse und/oder der Lohnausweise bei der Steuerverwaltung ist der jeweils der 31. Januar.</t>
  </si>
  <si>
    <t>7. Kontakt / HelpLine</t>
  </si>
  <si>
    <t>Wenn Sie Fragen zum Ausfüllen des Lohnprogramms haben, dürfen Sie sich gerne bei der Koordinationsstelle melden:</t>
  </si>
  <si>
    <t>031 300 33 70</t>
  </si>
  <si>
    <r>
      <rPr>
        <sz val="10"/>
        <color theme="10"/>
        <rFont val="Arial"/>
        <family val="2"/>
      </rPr>
      <t xml:space="preserve">  </t>
    </r>
    <r>
      <rPr>
        <u/>
        <sz val="10"/>
        <color theme="10"/>
        <rFont val="Arial"/>
        <family val="2"/>
      </rPr>
      <t xml:space="preserve">info@bernermodell.ch </t>
    </r>
  </si>
  <si>
    <t>ArbeitgeberIn</t>
  </si>
  <si>
    <t>Zur Information zur Budget-Berechnung:</t>
  </si>
  <si>
    <t>pro Jahr</t>
  </si>
  <si>
    <t>pro Tag</t>
  </si>
  <si>
    <t>Ort</t>
  </si>
  <si>
    <t>AHV-Bruttolohn gem. Pensum:</t>
  </si>
  <si>
    <t>Abrechnungs-verfahren</t>
  </si>
  <si>
    <t>Jahreslohn gesamt &gt; CHF 58'800</t>
  </si>
  <si>
    <t>Personendaten Assistenzperson</t>
  </si>
  <si>
    <t>Lohndaten Assistenzperson</t>
  </si>
  <si>
    <t>Theoretische Anrechnung an Kostendach:</t>
  </si>
  <si>
    <t>Geschlecht</t>
  </si>
  <si>
    <t>Angaben für VA</t>
  </si>
  <si>
    <t>Angehörigkeit</t>
  </si>
  <si>
    <t>Angehörige</t>
  </si>
  <si>
    <t>Min/Max-Lohn</t>
  </si>
  <si>
    <t>Assistenzbeitrag der IV</t>
  </si>
  <si>
    <t>Name</t>
  </si>
  <si>
    <t>AHV-Nr.</t>
  </si>
  <si>
    <t>Berechnung Brutto-Lohn</t>
  </si>
  <si>
    <t>Bitte auswählen</t>
  </si>
  <si>
    <t>Jahreslohnkosten</t>
  </si>
  <si>
    <t>Vorname</t>
  </si>
  <si>
    <t>Geburtsdatum</t>
  </si>
  <si>
    <t>Sozialversicherungen</t>
  </si>
  <si>
    <t>Arbeitnehmer-Beiträge</t>
  </si>
  <si>
    <t>männlich</t>
  </si>
  <si>
    <t>vereinfacht</t>
  </si>
  <si>
    <t>nicht verwandt</t>
  </si>
  <si>
    <t>Bruttolohn</t>
  </si>
  <si>
    <t>ja</t>
  </si>
  <si>
    <t>Adresse</t>
  </si>
  <si>
    <t>Tätigkeit</t>
  </si>
  <si>
    <t>AHV</t>
  </si>
  <si>
    <t>weiblich</t>
  </si>
  <si>
    <t>ordentlich</t>
  </si>
  <si>
    <t>EhepartnerIn</t>
  </si>
  <si>
    <t>nein</t>
  </si>
  <si>
    <t>PLZ/Ort</t>
  </si>
  <si>
    <t>ALV</t>
  </si>
  <si>
    <t>Eingetragene Partnerschaft</t>
  </si>
  <si>
    <t>Lohnart</t>
  </si>
  <si>
    <t>13. ML</t>
  </si>
  <si>
    <t>%-Satz für Berechnung KD</t>
  </si>
  <si>
    <t>KonkubinatspartnerIn</t>
  </si>
  <si>
    <t>Zivilstand</t>
  </si>
  <si>
    <t>Wird Arbeit auf Abruf geleistet?</t>
  </si>
  <si>
    <t>Nichtbetriebsunfall NBU</t>
  </si>
  <si>
    <t>in %</t>
  </si>
  <si>
    <t>Eltern</t>
  </si>
  <si>
    <t>Nationalität</t>
  </si>
  <si>
    <t>Verfügung Assistenzbeitrag IV</t>
  </si>
  <si>
    <t>Monatslohn</t>
  </si>
  <si>
    <t>Kind</t>
  </si>
  <si>
    <t>2. Stundenlohn</t>
  </si>
  <si>
    <t>Ausweis</t>
  </si>
  <si>
    <r>
      <t>Abrechnungsverfahren</t>
    </r>
    <r>
      <rPr>
        <sz val="8"/>
        <rFont val="Arial"/>
        <family val="2"/>
      </rPr>
      <t xml:space="preserve"> Ausgl.kasse</t>
    </r>
  </si>
  <si>
    <t>Krankentaggeld KTG</t>
  </si>
  <si>
    <t>Stundenlohn</t>
  </si>
  <si>
    <t>Grosseltern</t>
  </si>
  <si>
    <t>Beginn Arbeitsvertrag</t>
  </si>
  <si>
    <t>Bank</t>
  </si>
  <si>
    <t>Enkelkind</t>
  </si>
  <si>
    <t>Ende Arbeitsvertrag</t>
  </si>
  <si>
    <t>IBAN</t>
  </si>
  <si>
    <r>
      <t>BVG</t>
    </r>
    <r>
      <rPr>
        <vertAlign val="superscript"/>
        <sz val="9"/>
        <rFont val="Arial"/>
        <family val="2"/>
      </rPr>
      <t xml:space="preserve"> </t>
    </r>
    <r>
      <rPr>
        <sz val="9"/>
        <rFont val="Arial"/>
        <family val="2"/>
      </rPr>
      <t>pro Monat</t>
    </r>
  </si>
  <si>
    <t>in CHF</t>
  </si>
  <si>
    <t>Geschwister</t>
  </si>
  <si>
    <t>Begünstigte</t>
  </si>
  <si>
    <t>BVG</t>
  </si>
  <si>
    <t>oder in %</t>
  </si>
  <si>
    <t>Onkel/Tante</t>
  </si>
  <si>
    <t>Schwiegertochter/-sohn</t>
  </si>
  <si>
    <t>Fehlermeldungen/Hinweise</t>
  </si>
  <si>
    <t>NachbarIn</t>
  </si>
  <si>
    <t>Lohnabrechnung</t>
  </si>
  <si>
    <t>andere</t>
  </si>
  <si>
    <t>Total</t>
  </si>
  <si>
    <t>Kost &amp; Logis (Naturallohn)</t>
  </si>
  <si>
    <t>CHF</t>
  </si>
  <si>
    <t>LFP (AHV-pflichtig) 
gem. OR 324a</t>
  </si>
  <si>
    <t>LFP (AHV-pflichtig)
ausser gem. OR 324a</t>
  </si>
  <si>
    <t>MSE und EO-Entsch. 
(AHV-pflichtig)</t>
  </si>
  <si>
    <t>Vers.- entschädigung
(nicht AHV-pflichtig)</t>
  </si>
  <si>
    <t>Freibetr.</t>
  </si>
  <si>
    <t>Familienzulagen</t>
  </si>
  <si>
    <t>Kumm. Freibetrag max.</t>
  </si>
  <si>
    <t>AHV Basis ohne Freibetrag</t>
  </si>
  <si>
    <t>Freibetrag AHV Rentner</t>
  </si>
  <si>
    <t>Kumm. AHV Basis</t>
  </si>
  <si>
    <t>AHV Bruttolohn</t>
  </si>
  <si>
    <t>Restbetrag AHV Freibetrag</t>
  </si>
  <si>
    <t>AHV Freibetrag</t>
  </si>
  <si>
    <t>ALV-Lohn</t>
  </si>
  <si>
    <t>Effektive Spesen</t>
  </si>
  <si>
    <t>Kost &amp; Logis (Abzug)</t>
  </si>
  <si>
    <t>Nettolohn auszuzahlen</t>
  </si>
  <si>
    <t>Nettolohn ausbezahlt</t>
  </si>
  <si>
    <t>Differenz</t>
  </si>
  <si>
    <t>Bemerkungen</t>
  </si>
  <si>
    <t>Eingabe in AssistMe</t>
  </si>
  <si>
    <t>Anzahl Stunden</t>
  </si>
  <si>
    <t>Std.</t>
  </si>
  <si>
    <t>Nettolohn</t>
  </si>
  <si>
    <t>Davon LFP gem. OR324a</t>
  </si>
  <si>
    <t>Lohnbescheinigung für das vereinfachte Abrechnungsverfahren gemäss Bundes-gesetz gegen die Schwarzarbeit (BGSA)</t>
  </si>
  <si>
    <t>Datum</t>
  </si>
  <si>
    <t xml:space="preserve">Das vereinfachte Abrechnungsverfahren darf in folgenden </t>
  </si>
  <si>
    <t>Abrechnungsnummer</t>
  </si>
  <si>
    <r>
      <t>Fällen</t>
    </r>
    <r>
      <rPr>
        <b/>
        <sz val="10"/>
        <color rgb="FFFF0000"/>
        <rFont val="Arial"/>
        <family val="2"/>
      </rPr>
      <t xml:space="preserve"> nicht </t>
    </r>
    <r>
      <rPr>
        <sz val="10"/>
        <color rgb="FF000000"/>
        <rFont val="Arial"/>
        <family val="2"/>
      </rPr>
      <t>angewendet werden:</t>
    </r>
  </si>
  <si>
    <t>Name und Adresse Arbeitgebers</t>
  </si>
  <si>
    <t>Bitte in der Antwort wiederholen</t>
  </si>
  <si>
    <t>- wenn der Bruttolohn pro Person und pro Jahr</t>
  </si>
  <si>
    <t xml:space="preserve">  CHF 22'050 übersteigt.</t>
  </si>
  <si>
    <t>einzureichen bei Ihrer AHV-Zweigstelle</t>
  </si>
  <si>
    <t>- wenn der Bruttolohn pro Jahr des gesamten Personals</t>
  </si>
  <si>
    <t xml:space="preserve">  CHF 58'800 übersteigt.</t>
  </si>
  <si>
    <t>AHV-Zweigstelle</t>
  </si>
  <si>
    <t>- wenn es sich beim Personal um EhepartnerInnen</t>
  </si>
  <si>
    <t xml:space="preserve">  oder Kinder handelt.</t>
  </si>
  <si>
    <t>ACHTUNG</t>
  </si>
  <si>
    <t>In diesen Fällen muss ein ordentlicher Lohnausweis erstellt werden und der Lohn bei der AHV ordentlich abgerechnet werden.</t>
  </si>
  <si>
    <t>BGSA</t>
  </si>
  <si>
    <t>Links:</t>
  </si>
  <si>
    <t>Ordentliche AHV Lohnbescheinigung</t>
  </si>
  <si>
    <t>Abrechnungsperiode:</t>
  </si>
  <si>
    <t>Name, Vorname</t>
  </si>
  <si>
    <t>Beitragsdauer</t>
  </si>
  <si>
    <t>AHV/IV/EO/ALV/FAK bzw. FLG und Quellensteuer massgebender Lohn</t>
  </si>
  <si>
    <t>Geburtsdatum/Geschlecht</t>
  </si>
  <si>
    <t>von</t>
  </si>
  <si>
    <t xml:space="preserve"> bis</t>
  </si>
  <si>
    <t>PLZ, Ort der Arbeitnehmer</t>
  </si>
  <si>
    <t>Versichertennummer</t>
  </si>
  <si>
    <t>(Tag/Monat)</t>
  </si>
  <si>
    <t xml:space="preserve"> (Tag/Monat)</t>
  </si>
  <si>
    <t xml:space="preserve">, </t>
  </si>
  <si>
    <t>Wo haben Sie Ihr Personal gegen Unfall nach UVG versichert?</t>
  </si>
  <si>
    <r>
      <t xml:space="preserve">Der/die Unterzeichnete erklärt, dass </t>
    </r>
    <r>
      <rPr>
        <b/>
        <sz val="9"/>
        <rFont val="Arial"/>
        <family val="2"/>
      </rPr>
      <t>alle</t>
    </r>
    <r>
      <rPr>
        <sz val="9"/>
        <rFont val="Arial"/>
        <family val="2"/>
      </rPr>
      <t xml:space="preserve"> beitragspflichtigen Entgelte (inkl. Naturallöhne) korrekt deklariert wurden
</t>
    </r>
    <r>
      <rPr>
        <b/>
        <sz val="9"/>
        <rFont val="Arial"/>
        <family val="2"/>
      </rPr>
      <t>oder</t>
    </r>
    <r>
      <rPr>
        <sz val="9"/>
        <rFont val="Arial"/>
        <family val="2"/>
      </rPr>
      <t xml:space="preserve">
der/die Unterzeichnete erklärt, dass </t>
    </r>
    <r>
      <rPr>
        <b/>
        <sz val="9"/>
        <rFont val="Arial"/>
        <family val="2"/>
      </rPr>
      <t>keine</t>
    </r>
    <r>
      <rPr>
        <sz val="9"/>
        <rFont val="Arial"/>
        <family val="2"/>
      </rPr>
      <t xml:space="preserve"> beitragspflichtigen Entgelte (inkl. Naturallöhne) ausgerichtet wurden.</t>
    </r>
  </si>
  <si>
    <t xml:space="preserve">      Wir haben keine Löhne abzurechnen.</t>
  </si>
  <si>
    <t xml:space="preserve">      Wir beschäftigen keine Arbeitnehmer mehr und kündigen somit</t>
  </si>
  <si>
    <t xml:space="preserve">       das vereinfachte Abrechnungsverfahren gemäss BGSA auf Ende Jahr.</t>
  </si>
  <si>
    <t>Weitere Mitteilungen des Arbeitgebers:</t>
  </si>
  <si>
    <t>Ort und Datum</t>
  </si>
  <si>
    <t xml:space="preserve"> Unterschrift des Arbeitgebers</t>
  </si>
  <si>
    <t>Lohnbescheinigung und 
Abrechnung der Familienzulagen</t>
  </si>
  <si>
    <t>Beim ordentlichen Abrechnungsverfahren muss ein Lohnausweis erstellt werden.</t>
  </si>
  <si>
    <t>Name und Adresse des Arbeitgebers</t>
  </si>
  <si>
    <r>
      <rPr>
        <sz val="7.5"/>
        <rFont val="Arial"/>
        <family val="2"/>
      </rPr>
      <t>AHV/IV/EO -
massgebender
Lohn</t>
    </r>
    <r>
      <rPr>
        <b/>
        <sz val="7.5"/>
        <rFont val="Arial"/>
        <family val="2"/>
      </rPr>
      <t xml:space="preserve"> 
(Bar- und Naturallohn)</t>
    </r>
  </si>
  <si>
    <t>Massgebender Lohn für die Arbeitslosen-Versicherung, Maximum pro Jahr</t>
  </si>
  <si>
    <t>Massgebender Lohn für die Familienzulagen-ordnung (FAK/FLG)</t>
  </si>
  <si>
    <t>Anspruch auf Familienzulagen gemäss Anspruchs-ausweis</t>
  </si>
  <si>
    <t>Name / Vorname der Arbeitnehmer</t>
  </si>
  <si>
    <t>Name des Unfallversicherers (UVG):</t>
  </si>
  <si>
    <t>Name der beruflichen Vorsorgeeinrichtung (BVG):</t>
  </si>
  <si>
    <t>voraussichtliche Lohnsumme im neuen Jahr: Fr.</t>
  </si>
  <si>
    <t>Der/die Unterzeichnete erklärt, dass alle beitragspflichtigen Entgelte (inkl. Naturallöhne) korrekt deklariert wurden
oder
der/die unterzeichnete erklärt, dass keine beitragspflichtigen Entgelte (inkl. Naturallöhne) ausgerichtet wurden.</t>
  </si>
  <si>
    <t>voraussichtliche Familienzulagen im neuen Jahr: Fr.</t>
  </si>
  <si>
    <t>Weitere Mitteilungen:</t>
  </si>
  <si>
    <t>A</t>
  </si>
  <si>
    <t>X</t>
  </si>
  <si>
    <t>Lohnausweis - Certificat de salaire - Certificato di salario</t>
  </si>
  <si>
    <t>B</t>
  </si>
  <si>
    <t>Rentenbescheinigung - Attestation de rentes - Attestazione delle rendite</t>
  </si>
  <si>
    <t>C</t>
  </si>
  <si>
    <t>F</t>
  </si>
  <si>
    <t>Unentgeltliche Beförderung zwischen Wohn- und Arbeitsort
Transport gratuit entre le domicile et le lieu de travail
Trasporto gratuito dal domicilio al luogo di lavoro</t>
  </si>
  <si>
    <t>AHV-Nr. - No AVS - N.AVS</t>
  </si>
  <si>
    <t>Geburtsdatum – Date de naissance – Data di nascita</t>
  </si>
  <si>
    <t>D</t>
  </si>
  <si>
    <t>E</t>
  </si>
  <si>
    <t>G</t>
  </si>
  <si>
    <t>Kantinenverpflegung/Lunch-Checks
Repas à la cantine/chèques-repas
Pasti alla mensa/buoni pasto</t>
  </si>
  <si>
    <t>Jahr - Anné - Anno</t>
  </si>
  <si>
    <t>von - du - dal</t>
  </si>
  <si>
    <t>bis - au - al</t>
  </si>
  <si>
    <t>H</t>
  </si>
  <si>
    <t>Nur ganze Frankenbeträge
Que des montants entiers
Unicamente importi interi</t>
  </si>
  <si>
    <t>Lohn</t>
  </si>
  <si>
    <t>soweit nicht unter Ziffer 2-7 aufzuführen</t>
  </si>
  <si>
    <t>/Rente</t>
  </si>
  <si>
    <t>Salaire</t>
  </si>
  <si>
    <t>qui ne concerne pas les chiffres 2 à 7 ci-dessous</t>
  </si>
  <si>
    <t>Salario</t>
  </si>
  <si>
    <t>se non da indicare sotto cifre da 2 a 7 più sotto</t>
  </si>
  <si>
    <t>/Rendita</t>
  </si>
  <si>
    <t>Gehaltsnebenleistungen</t>
  </si>
  <si>
    <r>
      <rPr>
        <b/>
        <sz val="8"/>
        <rFont val="Arial Narrow"/>
        <family val="2"/>
      </rPr>
      <t xml:space="preserve">2.1 </t>
    </r>
    <r>
      <rPr>
        <sz val="8"/>
        <rFont val="Arial Narrow"/>
        <family val="2"/>
      </rPr>
      <t>Verpflegung, Unterkunft - Pension, logement - Vitto, alloggio</t>
    </r>
  </si>
  <si>
    <t>+</t>
  </si>
  <si>
    <t>Prestations salariales accessoirs</t>
  </si>
  <si>
    <r>
      <rPr>
        <b/>
        <sz val="8"/>
        <rFont val="Arial Narrow"/>
        <family val="2"/>
      </rPr>
      <t>2.2</t>
    </r>
    <r>
      <rPr>
        <sz val="8"/>
        <rFont val="Arial Narrow"/>
        <family val="2"/>
      </rPr>
      <t xml:space="preserve"> Privatanteil Geschäftswagen - Part privée voiture de service - Quota privata automobile di servizio</t>
    </r>
  </si>
  <si>
    <t>Prestazioni accessorie al salario</t>
  </si>
  <si>
    <r>
      <rPr>
        <b/>
        <sz val="8"/>
        <rFont val="Arial Narrow"/>
        <family val="2"/>
      </rPr>
      <t>2.3</t>
    </r>
    <r>
      <rPr>
        <sz val="8"/>
        <rFont val="Arial Narrow"/>
        <family val="2"/>
      </rPr>
      <t xml:space="preserve"> Andere - Autres - Altre</t>
    </r>
  </si>
  <si>
    <t>Art -Genre - Genere</t>
  </si>
  <si>
    <t>Unregelmässige Leistungen - Prestations non périodiques - Prestazioni aperiodiche</t>
  </si>
  <si>
    <t xml:space="preserve"> Kapitalleistungen - Prestations en capital - Prestazioni in capitale</t>
  </si>
  <si>
    <t>Beteiligungsrechte gemäss Beiblatt - Droits de participation selon annexe - Dritti di partecipazione secondo allegato</t>
  </si>
  <si>
    <t>Verwaltungsratsentschädigungen - Indemnités des membres de l'administration - Indennità dei membri di consigli d'administrazione</t>
  </si>
  <si>
    <t>Andere Leistungen - Autres prestations - Altre prestazioni</t>
  </si>
  <si>
    <t>Bruttolohn total/Rente - Salaire brut total/Rente - Salario lordo totale/Rendita</t>
  </si>
  <si>
    <t>=</t>
  </si>
  <si>
    <t>Beiträge AHV/IV/EO/ALV/NBUV - Cotisations AVS/AI/APG/AC/AANP - Contributi AVS/AI/IPG/AD/AINP</t>
  </si>
  <si>
    <t>Berufliche Vorsorge</t>
  </si>
  <si>
    <t>2.Säule</t>
  </si>
  <si>
    <r>
      <rPr>
        <b/>
        <sz val="8"/>
        <rFont val="Arial Narrow"/>
        <family val="2"/>
      </rPr>
      <t xml:space="preserve">10.1 </t>
    </r>
    <r>
      <rPr>
        <sz val="8"/>
        <rFont val="Arial Narrow"/>
        <family val="2"/>
      </rPr>
      <t>Ordentliche Beiträge - Cotisations ordinaire - Contributi ordinari</t>
    </r>
  </si>
  <si>
    <t>Prévoyance professionnelle</t>
  </si>
  <si>
    <r>
      <t>2</t>
    </r>
    <r>
      <rPr>
        <vertAlign val="superscript"/>
        <sz val="8"/>
        <rFont val="Arial Narrow"/>
        <family val="2"/>
      </rPr>
      <t xml:space="preserve">e </t>
    </r>
    <r>
      <rPr>
        <sz val="8"/>
        <rFont val="Arial Narrow"/>
        <family val="2"/>
      </rPr>
      <t>pilier</t>
    </r>
  </si>
  <si>
    <t>Previdenza professionale</t>
  </si>
  <si>
    <r>
      <t>2</t>
    </r>
    <r>
      <rPr>
        <vertAlign val="superscript"/>
        <sz val="8"/>
        <rFont val="Arial Narrow"/>
        <family val="2"/>
      </rPr>
      <t>o</t>
    </r>
    <r>
      <rPr>
        <sz val="8"/>
        <rFont val="Arial Narrow"/>
        <family val="2"/>
      </rPr>
      <t xml:space="preserve"> pilastro</t>
    </r>
  </si>
  <si>
    <r>
      <rPr>
        <b/>
        <sz val="8"/>
        <rFont val="Arial Narrow"/>
        <family val="2"/>
      </rPr>
      <t>10.2</t>
    </r>
    <r>
      <rPr>
        <sz val="8"/>
        <rFont val="Arial Narrow"/>
        <family val="2"/>
      </rPr>
      <t xml:space="preserve"> Beiträge für den Einkauf - Cotisations pour le rachat - Contributi per il riscatto</t>
    </r>
  </si>
  <si>
    <t>Nettolohn/Rente - Salaire net/Rente - Salario netto/Rendita</t>
  </si>
  <si>
    <t>In die Steuererklärung übertragen - A reporter sur la déclaration d'impôt - Da riportare nella dichiarazione d'imposta</t>
  </si>
  <si>
    <t xml:space="preserve"> Quellensteuerabzug - Retenue de l'impôt à la source - Ritenuta d'imposta alla fonte</t>
  </si>
  <si>
    <t xml:space="preserve"> Spesenvergütungen - Allocations pour frais - Indennità per spese</t>
  </si>
  <si>
    <t>Nicht im Bruttolohn (gemäss Ziffer 8) enthalten - Non comprises dans le salaire brut (au chiffre 8) - Non comprese nel salario lordo (sotto cifra 8)</t>
  </si>
  <si>
    <t>Effektive Spesen
Frais effectifs
Spese effettive</t>
  </si>
  <si>
    <t>13.1.1</t>
  </si>
  <si>
    <t>Reise, Verpflegung, Übernachtung - Voyage, repas, nuitées - Viaggio, vitto, alloggio</t>
  </si>
  <si>
    <t>13.1.2</t>
  </si>
  <si>
    <t>Übrige - Autres - Altre</t>
  </si>
  <si>
    <t>Pauschalspesen</t>
  </si>
  <si>
    <t>13.2.1</t>
  </si>
  <si>
    <t>Repräsentation - Représentation - Rappresentanza</t>
  </si>
  <si>
    <t>Frais forfaitaires</t>
  </si>
  <si>
    <t>13.2.2</t>
  </si>
  <si>
    <t>Auto - Voiture - Automobile</t>
  </si>
  <si>
    <t>Spese forfettarie</t>
  </si>
  <si>
    <t>13.2.3</t>
  </si>
  <si>
    <t>Beiträge an die Weiterbildung - Contributions au perfectionnement - Contributi per il perfezionamento</t>
  </si>
  <si>
    <t>Weitere Gehaltsnebenleistungen</t>
  </si>
  <si>
    <t>Art</t>
  </si>
  <si>
    <t>Autres prestations salariales accessoires</t>
  </si>
  <si>
    <t>Genre</t>
  </si>
  <si>
    <t>Altre prestazioni accessorie al salario</t>
  </si>
  <si>
    <t>Genere</t>
  </si>
  <si>
    <t>Observations</t>
  </si>
  <si>
    <t>Osservazioni</t>
  </si>
  <si>
    <t>I</t>
  </si>
  <si>
    <t xml:space="preserve"> Ort und Datum - Lieu et date - Luogo e data</t>
  </si>
  <si>
    <t>Die Richtigkeit und Vollständigkeit bestätigt</t>
  </si>
  <si>
    <t>inkl. genauer Anschrift und Telefonnummer des Arbeitgebers</t>
  </si>
  <si>
    <t>Certifié exact et complet</t>
  </si>
  <si>
    <t>y.c. adresse et numéro de téléphone exacts de l'employeur</t>
  </si>
  <si>
    <t>Certificato esatto e completo</t>
  </si>
  <si>
    <t>compresi indirizzo e numero di telefono esatti del datore di lavoro</t>
  </si>
  <si>
    <t>Tel-Nummer hier eintragen</t>
  </si>
  <si>
    <t>2.1 Verpflegung, Unterkunft - Pension, logement - Vitto, alloggio</t>
  </si>
  <si>
    <t>2.2 Privatanteil Geschäftswagen - Part privée voiture de service - Quota privata automobile di servizio</t>
  </si>
  <si>
    <t>2.3 Andere - Autres - Altre</t>
  </si>
  <si>
    <t>10.1 Ordentliche Beiträge - Cotisations ordinaire - Contributi ordinari</t>
  </si>
  <si>
    <t>2e pilier</t>
  </si>
  <si>
    <t>2o pilastro</t>
  </si>
  <si>
    <t>10.2 Beiträge für den Einkauf - Cotisations pour le rachat - Contributi per il riscatto</t>
  </si>
  <si>
    <t>https://www.gsi.be.ch/de/start/themen/soziales/behinderung/blg/berner-modell.html</t>
  </si>
  <si>
    <t>Weitere Informationen finden Sie unter folgendem Link:</t>
  </si>
  <si>
    <t>Informationen zur Bedienung des Lohnprogramms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</si>
</sst>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0.000%"/>
    <numFmt numFmtId="165" formatCode="0.0%"/>
    <numFmt numFmtId="166" formatCode="mmmm"/>
    <numFmt numFmtId="167" formatCode="dd/mm/"/>
    <numFmt numFmtId="168" formatCode="&quot;Rekapitulation&quot;\ yyyy"/>
    <numFmt numFmtId="169" formatCode="yyyy"/>
    <numFmt numFmtId="170" formatCode="&quot;CHF&quot;\ 0.00"/>
    <numFmt numFmtId="171" formatCode="0.00\ &quot;h&quot;"/>
    <numFmt numFmtId="172" formatCode="&quot;Lohnblatt&quot;\ yyyy"/>
    <numFmt numFmtId="173" formatCode="&quot;Lohnprogramm&quot;\ yyyy"/>
    <numFmt numFmtId="174" formatCode="0.000000000"/>
    <numFmt numFmtId="175" formatCode="&quot;Abrechnungsperiode: &quot;yyyy"/>
    <numFmt numFmtId="176" formatCode="#,##0.0000;[Red]\-#,##0.0000"/>
    <numFmt numFmtId="177" formatCode="#,##0.00_ ;[Red]\-#,##0.00\ "/>
    <numFmt numFmtId="178" formatCode="0.0"/>
    <numFmt numFmtId="179" formatCode="0.0000"/>
    <numFmt numFmtId="180" formatCode="0.00\ &quot;h/Wo&quot;"/>
    <numFmt numFmtId="181" formatCode="&quot;CHF&quot;\ * #,##0.00;[Red]\-#,##0.00"/>
  </numFmts>
  <fonts count="39" x14ac:knownFonts="1">
    <font>
      <sz val="10"/>
      <name val="MS Sans Serif"/>
    </font>
    <font>
      <sz val="10"/>
      <name val="MS Sans Serif"/>
      <family val="2"/>
    </font>
    <font>
      <sz val="10"/>
      <name val="Arial"/>
      <family val="2"/>
    </font>
    <font>
      <b/>
      <sz val="10"/>
      <name val="Arial"/>
      <family val="2"/>
    </font>
    <font>
      <sz val="9"/>
      <name val="Arial"/>
      <family val="2"/>
    </font>
    <font>
      <i/>
      <sz val="9"/>
      <name val="Arial"/>
      <family val="2"/>
    </font>
    <font>
      <b/>
      <sz val="9"/>
      <name val="Arial"/>
      <family val="2"/>
    </font>
    <font>
      <b/>
      <sz val="11"/>
      <name val="Arial"/>
      <family val="2"/>
    </font>
    <font>
      <vertAlign val="superscript"/>
      <sz val="9"/>
      <name val="Arial"/>
      <family val="2"/>
    </font>
    <font>
      <u/>
      <sz val="10"/>
      <color theme="10"/>
      <name val="MS Sans Serif"/>
    </font>
    <font>
      <b/>
      <sz val="18"/>
      <name val="Arial"/>
      <family val="2"/>
    </font>
    <font>
      <b/>
      <sz val="10"/>
      <color theme="1"/>
      <name val="Arial"/>
      <family val="2"/>
    </font>
    <font>
      <sz val="8"/>
      <name val="Arial"/>
      <family val="2"/>
    </font>
    <font>
      <sz val="10"/>
      <color rgb="FF000000"/>
      <name val="Arial"/>
      <family val="2"/>
    </font>
    <font>
      <b/>
      <sz val="10"/>
      <color rgb="FFFF0000"/>
      <name val="Arial"/>
      <family val="2"/>
    </font>
    <font>
      <u/>
      <sz val="10"/>
      <color theme="10"/>
      <name val="Arial"/>
      <family val="2"/>
    </font>
    <font>
      <sz val="9"/>
      <color rgb="FF000000"/>
      <name val="Arial"/>
      <family val="2"/>
    </font>
    <font>
      <b/>
      <i/>
      <sz val="9"/>
      <color rgb="FFFF0000"/>
      <name val="Arial"/>
      <family val="2"/>
    </font>
    <font>
      <b/>
      <sz val="9"/>
      <color rgb="FF000000"/>
      <name val="Arial"/>
      <family val="2"/>
    </font>
    <font>
      <b/>
      <sz val="16"/>
      <name val="Arial"/>
      <family val="2"/>
    </font>
    <font>
      <b/>
      <sz val="9"/>
      <color rgb="FFFF0000"/>
      <name val="Arial"/>
      <family val="2"/>
    </font>
    <font>
      <sz val="7.5"/>
      <name val="Arial"/>
      <family val="2"/>
    </font>
    <font>
      <b/>
      <sz val="7.5"/>
      <name val="Arial"/>
      <family val="2"/>
    </font>
    <font>
      <b/>
      <u/>
      <sz val="9"/>
      <name val="Arial"/>
      <family val="2"/>
    </font>
    <font>
      <b/>
      <u/>
      <sz val="14"/>
      <color rgb="FFFF0000"/>
      <name val="Arial"/>
      <family val="2"/>
    </font>
    <font>
      <sz val="8"/>
      <name val="Arial Narrow"/>
      <family val="2"/>
    </font>
    <font>
      <sz val="10"/>
      <name val="Arial Narrow"/>
      <family val="2"/>
    </font>
    <font>
      <b/>
      <sz val="8"/>
      <name val="Arial Narrow"/>
      <family val="2"/>
    </font>
    <font>
      <sz val="6"/>
      <name val="Arial Narrow"/>
      <family val="2"/>
    </font>
    <font>
      <b/>
      <sz val="6"/>
      <name val="Arial Narrow"/>
      <family val="2"/>
    </font>
    <font>
      <b/>
      <sz val="10"/>
      <name val="Arial Narrow"/>
      <family val="2"/>
    </font>
    <font>
      <vertAlign val="superscript"/>
      <sz val="8"/>
      <name val="Arial Narrow"/>
      <family val="2"/>
    </font>
    <font>
      <b/>
      <sz val="11"/>
      <name val="Arial Black"/>
      <family val="2"/>
    </font>
    <font>
      <b/>
      <sz val="12"/>
      <name val="Arial"/>
      <family val="2"/>
    </font>
    <font>
      <b/>
      <i/>
      <sz val="10"/>
      <color rgb="FFFF0000"/>
      <name val="Arial"/>
      <family val="2"/>
    </font>
    <font>
      <i/>
      <sz val="10"/>
      <name val="Arial"/>
      <family val="2"/>
    </font>
    <font>
      <sz val="12"/>
      <name val="Arial"/>
      <family val="2"/>
    </font>
    <font>
      <sz val="10"/>
      <color theme="10"/>
      <name val="Arial"/>
      <family val="2"/>
    </font>
    <font>
      <u/>
      <sz val="8"/>
      <color theme="10"/>
      <name val="Arial"/>
      <family val="2"/>
    </font>
  </fonts>
  <fills count="9">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FFFBD"/>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4.9989318521683403E-2"/>
        <bgColor indexed="64"/>
      </patternFill>
    </fill>
  </fills>
  <borders count="96">
    <border>
      <left/>
      <right/>
      <top/>
      <bottom/>
      <diagonal/>
    </border>
    <border>
      <left/>
      <right/>
      <top/>
      <bottom style="thin">
        <color indexed="64"/>
      </bottom>
      <diagonal/>
    </border>
    <border>
      <left style="hair">
        <color indexed="64"/>
      </left>
      <right style="hair">
        <color indexed="64"/>
      </right>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style="hair">
        <color indexed="64"/>
      </left>
      <right/>
      <top style="hair">
        <color indexed="64"/>
      </top>
      <bottom style="hair">
        <color indexed="64"/>
      </bottom>
      <diagonal/>
    </border>
    <border>
      <left style="thin">
        <color indexed="64"/>
      </left>
      <right/>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hair">
        <color indexed="64"/>
      </left>
      <right style="hair">
        <color indexed="64"/>
      </right>
      <top style="thin">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medium">
        <color indexed="64"/>
      </top>
      <bottom style="hair">
        <color indexed="64"/>
      </bottom>
      <diagonal/>
    </border>
    <border>
      <left style="hair">
        <color indexed="64"/>
      </left>
      <right/>
      <top style="thin">
        <color indexed="64"/>
      </top>
      <bottom style="thin">
        <color indexed="64"/>
      </bottom>
      <diagonal/>
    </border>
    <border>
      <left/>
      <right style="medium">
        <color indexed="64"/>
      </right>
      <top style="hair">
        <color indexed="64"/>
      </top>
      <bottom style="hair">
        <color indexed="64"/>
      </bottom>
      <diagonal/>
    </border>
    <border>
      <left/>
      <right/>
      <top/>
      <bottom style="medium">
        <color indexed="64"/>
      </bottom>
      <diagonal/>
    </border>
    <border>
      <left style="hair">
        <color indexed="64"/>
      </left>
      <right style="medium">
        <color indexed="64"/>
      </right>
      <top style="thin">
        <color indexed="64"/>
      </top>
      <bottom/>
      <diagonal/>
    </border>
    <border>
      <left style="medium">
        <color indexed="64"/>
      </left>
      <right/>
      <top style="thin">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style="hair">
        <color indexed="64"/>
      </top>
      <bottom style="medium">
        <color indexed="64"/>
      </bottom>
      <diagonal/>
    </border>
    <border>
      <left/>
      <right style="thin">
        <color indexed="64"/>
      </right>
      <top/>
      <bottom style="hair">
        <color indexed="64"/>
      </bottom>
      <diagonal/>
    </border>
    <border>
      <left/>
      <right style="thin">
        <color indexed="64"/>
      </right>
      <top style="hair">
        <color indexed="64"/>
      </top>
      <bottom/>
      <diagonal/>
    </border>
    <border>
      <left style="hair">
        <color indexed="64"/>
      </left>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style="hair">
        <color indexed="64"/>
      </left>
      <right style="hair">
        <color indexed="64"/>
      </right>
      <top/>
      <bottom style="thin">
        <color indexed="64"/>
      </bottom>
      <diagonal/>
    </border>
    <border>
      <left/>
      <right/>
      <top/>
      <bottom style="hair">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right/>
      <top style="hair">
        <color indexed="64"/>
      </top>
      <bottom/>
      <diagonal/>
    </border>
    <border>
      <left style="hair">
        <color indexed="64"/>
      </left>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right style="hair">
        <color indexed="64"/>
      </right>
      <top style="hair">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s>
  <cellStyleXfs count="5">
    <xf numFmtId="0" fontId="0" fillId="0" borderId="0"/>
    <xf numFmtId="40"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6" fillId="0" borderId="0" applyFill="0" applyBorder="0" applyAlignment="0" applyProtection="0">
      <alignment horizontal="left"/>
    </xf>
  </cellStyleXfs>
  <cellXfs count="549">
    <xf numFmtId="0" fontId="0" fillId="0" borderId="0" xfId="0"/>
    <xf numFmtId="0" fontId="2" fillId="0" borderId="0" xfId="0" applyFont="1"/>
    <xf numFmtId="0" fontId="4" fillId="0" borderId="0" xfId="0" applyFont="1"/>
    <xf numFmtId="0" fontId="2" fillId="0" borderId="1" xfId="0" applyFont="1" applyBorder="1"/>
    <xf numFmtId="0" fontId="4" fillId="0" borderId="0" xfId="0" applyFont="1" applyAlignment="1">
      <alignment horizontal="left"/>
    </xf>
    <xf numFmtId="0" fontId="6" fillId="0" borderId="0" xfId="0" applyFont="1" applyAlignment="1">
      <alignment horizontal="left"/>
    </xf>
    <xf numFmtId="0" fontId="6" fillId="0" borderId="0" xfId="0" applyFont="1"/>
    <xf numFmtId="0" fontId="4" fillId="0" borderId="14" xfId="0" applyFont="1" applyBorder="1" applyAlignment="1">
      <alignment horizontal="left"/>
    </xf>
    <xf numFmtId="0" fontId="4" fillId="0" borderId="9" xfId="0" applyFont="1" applyBorder="1" applyAlignment="1">
      <alignment horizontal="left"/>
    </xf>
    <xf numFmtId="0" fontId="4" fillId="0" borderId="4" xfId="0" applyFont="1" applyBorder="1" applyAlignment="1">
      <alignment horizontal="left"/>
    </xf>
    <xf numFmtId="0" fontId="4" fillId="0" borderId="12" xfId="0" applyFont="1" applyBorder="1" applyAlignment="1">
      <alignment horizontal="left"/>
    </xf>
    <xf numFmtId="14" fontId="4" fillId="0" borderId="0" xfId="1" applyNumberFormat="1" applyFont="1" applyBorder="1" applyAlignment="1">
      <alignment horizontal="left"/>
    </xf>
    <xf numFmtId="40" fontId="4" fillId="0" borderId="0" xfId="1" applyFont="1" applyBorder="1" applyAlignment="1">
      <alignment horizontal="left"/>
    </xf>
    <xf numFmtId="0" fontId="6" fillId="0" borderId="13" xfId="0" applyFont="1" applyBorder="1" applyAlignment="1">
      <alignment horizontal="left"/>
    </xf>
    <xf numFmtId="14" fontId="4" fillId="0" borderId="13" xfId="1" applyNumberFormat="1" applyFont="1" applyBorder="1" applyAlignment="1">
      <alignment horizontal="left"/>
    </xf>
    <xf numFmtId="167" fontId="4" fillId="0" borderId="4" xfId="1" applyNumberFormat="1" applyFont="1" applyBorder="1" applyAlignment="1">
      <alignment horizontal="center"/>
    </xf>
    <xf numFmtId="0" fontId="4" fillId="0" borderId="8" xfId="0" applyFont="1" applyBorder="1" applyAlignment="1">
      <alignment horizontal="center" wrapText="1"/>
    </xf>
    <xf numFmtId="0" fontId="4" fillId="0" borderId="9" xfId="0" applyFont="1" applyBorder="1" applyAlignment="1">
      <alignment horizontal="center"/>
    </xf>
    <xf numFmtId="0" fontId="4" fillId="0" borderId="2" xfId="0" applyFont="1" applyBorder="1" applyAlignment="1">
      <alignment horizontal="left"/>
    </xf>
    <xf numFmtId="0" fontId="4" fillId="0" borderId="4" xfId="0" applyFont="1" applyBorder="1" applyAlignment="1">
      <alignment horizontal="center"/>
    </xf>
    <xf numFmtId="0" fontId="4" fillId="0" borderId="5" xfId="0" applyFont="1" applyBorder="1" applyAlignment="1">
      <alignment horizontal="left"/>
    </xf>
    <xf numFmtId="0" fontId="6" fillId="0" borderId="17" xfId="0" applyFont="1" applyBorder="1" applyAlignment="1">
      <alignment horizontal="center" vertical="center"/>
    </xf>
    <xf numFmtId="39" fontId="6" fillId="0" borderId="17" xfId="0" applyNumberFormat="1" applyFont="1" applyBorder="1" applyAlignment="1">
      <alignment horizontal="right" vertical="center"/>
    </xf>
    <xf numFmtId="39" fontId="6" fillId="0" borderId="16" xfId="0" applyNumberFormat="1" applyFont="1" applyBorder="1" applyAlignment="1">
      <alignment horizontal="right" vertical="center"/>
    </xf>
    <xf numFmtId="0" fontId="2" fillId="0" borderId="0" xfId="0" applyFont="1" applyAlignment="1">
      <alignment horizontal="center"/>
    </xf>
    <xf numFmtId="168" fontId="7" fillId="0" borderId="0" xfId="0" applyNumberFormat="1" applyFont="1"/>
    <xf numFmtId="0" fontId="2" fillId="0" borderId="17" xfId="0" applyFont="1" applyBorder="1"/>
    <xf numFmtId="0" fontId="4" fillId="0" borderId="18" xfId="0" applyFont="1" applyBorder="1"/>
    <xf numFmtId="0" fontId="4" fillId="0" borderId="17" xfId="0" applyFont="1" applyBorder="1"/>
    <xf numFmtId="0" fontId="4" fillId="0" borderId="11" xfId="0" quotePrefix="1" applyFont="1" applyBorder="1"/>
    <xf numFmtId="0" fontId="4" fillId="0" borderId="20" xfId="0" quotePrefix="1" applyFont="1" applyBorder="1"/>
    <xf numFmtId="0" fontId="4" fillId="0" borderId="1" xfId="0" applyFont="1" applyBorder="1"/>
    <xf numFmtId="0" fontId="6" fillId="0" borderId="11" xfId="0" applyFont="1" applyBorder="1"/>
    <xf numFmtId="0" fontId="4" fillId="0" borderId="0" xfId="0" applyFont="1" applyAlignment="1">
      <alignment wrapText="1"/>
    </xf>
    <xf numFmtId="168" fontId="10" fillId="0" borderId="0" xfId="0" applyNumberFormat="1" applyFont="1"/>
    <xf numFmtId="0" fontId="4" fillId="0" borderId="18" xfId="0" applyFont="1" applyBorder="1" applyAlignment="1">
      <alignment horizontal="left"/>
    </xf>
    <xf numFmtId="0" fontId="4" fillId="0" borderId="11" xfId="0" applyFont="1" applyBorder="1" applyAlignment="1">
      <alignment horizontal="left"/>
    </xf>
    <xf numFmtId="0" fontId="4" fillId="0" borderId="22" xfId="0" applyFont="1" applyBorder="1" applyAlignment="1">
      <alignment horizontal="left"/>
    </xf>
    <xf numFmtId="0" fontId="4" fillId="0" borderId="23" xfId="0" applyFont="1" applyBorder="1" applyAlignment="1">
      <alignment horizontal="left"/>
    </xf>
    <xf numFmtId="0" fontId="4" fillId="0" borderId="20" xfId="0" applyFont="1" applyBorder="1" applyAlignment="1">
      <alignment horizontal="left"/>
    </xf>
    <xf numFmtId="40" fontId="4" fillId="0" borderId="9" xfId="1" applyFont="1" applyBorder="1" applyAlignment="1">
      <alignment horizontal="left"/>
    </xf>
    <xf numFmtId="0" fontId="7" fillId="3" borderId="0" xfId="0" applyFont="1" applyFill="1"/>
    <xf numFmtId="0" fontId="2" fillId="3" borderId="0" xfId="0" applyFont="1" applyFill="1"/>
    <xf numFmtId="0" fontId="13" fillId="4" borderId="25" xfId="0" applyFont="1" applyFill="1" applyBorder="1"/>
    <xf numFmtId="0" fontId="13" fillId="4" borderId="26" xfId="0" applyFont="1" applyFill="1" applyBorder="1"/>
    <xf numFmtId="0" fontId="2" fillId="4" borderId="26" xfId="0" quotePrefix="1" applyFont="1" applyFill="1" applyBorder="1"/>
    <xf numFmtId="0" fontId="13" fillId="4" borderId="26" xfId="0" quotePrefix="1" applyFont="1" applyFill="1" applyBorder="1"/>
    <xf numFmtId="0" fontId="14" fillId="4" borderId="26" xfId="0" applyFont="1" applyFill="1" applyBorder="1"/>
    <xf numFmtId="10" fontId="4" fillId="0" borderId="0" xfId="2" applyNumberFormat="1" applyFont="1" applyFill="1"/>
    <xf numFmtId="40" fontId="6" fillId="0" borderId="0" xfId="1" applyFont="1" applyFill="1"/>
    <xf numFmtId="0" fontId="4" fillId="0" borderId="1" xfId="0" applyFont="1" applyBorder="1" applyAlignment="1">
      <alignment horizontal="right"/>
    </xf>
    <xf numFmtId="172" fontId="7" fillId="3" borderId="0" xfId="0" applyNumberFormat="1" applyFont="1" applyFill="1" applyAlignment="1">
      <alignment horizontal="right"/>
    </xf>
    <xf numFmtId="0" fontId="4" fillId="3" borderId="0" xfId="0" applyFont="1" applyFill="1"/>
    <xf numFmtId="0" fontId="4" fillId="0" borderId="41" xfId="0" applyFont="1" applyBorder="1"/>
    <xf numFmtId="39" fontId="4" fillId="0" borderId="41" xfId="0" applyNumberFormat="1" applyFont="1" applyBorder="1" applyAlignment="1">
      <alignment horizontal="right"/>
    </xf>
    <xf numFmtId="165" fontId="4" fillId="0" borderId="41" xfId="0" applyNumberFormat="1" applyFont="1" applyBorder="1" applyAlignment="1">
      <alignment horizontal="right"/>
    </xf>
    <xf numFmtId="4" fontId="4" fillId="0" borderId="41" xfId="0" applyNumberFormat="1" applyFont="1" applyBorder="1" applyAlignment="1">
      <alignment horizontal="right"/>
    </xf>
    <xf numFmtId="39" fontId="4" fillId="0" borderId="0" xfId="0" applyNumberFormat="1" applyFont="1" applyAlignment="1">
      <alignment horizontal="right"/>
    </xf>
    <xf numFmtId="40" fontId="4" fillId="0" borderId="0" xfId="1" applyFont="1" applyFill="1" applyProtection="1"/>
    <xf numFmtId="40" fontId="4" fillId="0" borderId="0" xfId="1" applyFont="1" applyProtection="1"/>
    <xf numFmtId="39" fontId="6" fillId="3" borderId="6" xfId="0" applyNumberFormat="1" applyFont="1" applyFill="1" applyBorder="1" applyAlignment="1">
      <alignment horizontal="right"/>
    </xf>
    <xf numFmtId="39" fontId="6" fillId="3" borderId="31" xfId="0" applyNumberFormat="1" applyFont="1" applyFill="1" applyBorder="1" applyAlignment="1">
      <alignment horizontal="right"/>
    </xf>
    <xf numFmtId="39" fontId="6" fillId="0" borderId="0" xfId="0" applyNumberFormat="1" applyFont="1" applyAlignment="1">
      <alignment horizontal="right"/>
    </xf>
    <xf numFmtId="40" fontId="6" fillId="0" borderId="0" xfId="1" applyFont="1" applyFill="1" applyProtection="1"/>
    <xf numFmtId="40" fontId="6" fillId="0" borderId="0" xfId="1" applyFont="1" applyProtection="1"/>
    <xf numFmtId="40" fontId="4" fillId="0" borderId="0" xfId="1" applyFont="1" applyFill="1" applyBorder="1" applyAlignment="1" applyProtection="1">
      <alignment horizontal="right"/>
    </xf>
    <xf numFmtId="165" fontId="4" fillId="0" borderId="0" xfId="0" applyNumberFormat="1" applyFont="1" applyAlignment="1">
      <alignment horizontal="right"/>
    </xf>
    <xf numFmtId="4" fontId="4" fillId="0" borderId="0" xfId="0" applyNumberFormat="1" applyFont="1" applyAlignment="1">
      <alignment horizontal="right"/>
    </xf>
    <xf numFmtId="40" fontId="2" fillId="0" borderId="0" xfId="1" applyFont="1" applyProtection="1"/>
    <xf numFmtId="166" fontId="6" fillId="0" borderId="30" xfId="0" applyNumberFormat="1" applyFont="1" applyBorder="1" applyAlignment="1">
      <alignment horizontal="center"/>
    </xf>
    <xf numFmtId="39" fontId="6" fillId="0" borderId="31" xfId="0" applyNumberFormat="1" applyFont="1" applyBorder="1" applyAlignment="1">
      <alignment horizontal="right"/>
    </xf>
    <xf numFmtId="0" fontId="16" fillId="0" borderId="43" xfId="0" applyFont="1" applyBorder="1" applyAlignment="1">
      <alignment horizontal="left"/>
    </xf>
    <xf numFmtId="39" fontId="6" fillId="0" borderId="46" xfId="0" applyNumberFormat="1" applyFont="1" applyBorder="1" applyAlignment="1">
      <alignment horizontal="right"/>
    </xf>
    <xf numFmtId="39" fontId="6" fillId="0" borderId="47" xfId="0" applyNumberFormat="1" applyFont="1" applyBorder="1" applyAlignment="1">
      <alignment horizontal="right"/>
    </xf>
    <xf numFmtId="40" fontId="4" fillId="0" borderId="41" xfId="1" applyFont="1" applyFill="1" applyBorder="1" applyAlignment="1" applyProtection="1">
      <alignment horizontal="right"/>
    </xf>
    <xf numFmtId="9" fontId="4" fillId="0" borderId="0" xfId="2" applyFont="1" applyAlignment="1" applyProtection="1">
      <alignment horizontal="left"/>
    </xf>
    <xf numFmtId="166" fontId="6" fillId="0" borderId="0" xfId="0" applyNumberFormat="1" applyFont="1" applyAlignment="1">
      <alignment horizontal="center"/>
    </xf>
    <xf numFmtId="166" fontId="6" fillId="0" borderId="0" xfId="1" applyNumberFormat="1" applyFont="1" applyFill="1" applyAlignment="1" applyProtection="1">
      <alignment horizontal="center"/>
    </xf>
    <xf numFmtId="40" fontId="4" fillId="0" borderId="0" xfId="1" quotePrefix="1" applyFont="1" applyFill="1" applyBorder="1" applyAlignment="1" applyProtection="1">
      <alignment horizontal="right"/>
    </xf>
    <xf numFmtId="40" fontId="6" fillId="0" borderId="0" xfId="1" applyFont="1" applyFill="1" applyBorder="1" applyAlignment="1" applyProtection="1">
      <alignment horizontal="right"/>
    </xf>
    <xf numFmtId="171" fontId="4" fillId="0" borderId="0" xfId="0" applyNumberFormat="1" applyFont="1"/>
    <xf numFmtId="170" fontId="4" fillId="0" borderId="0" xfId="0" applyNumberFormat="1" applyFont="1"/>
    <xf numFmtId="166" fontId="6" fillId="0" borderId="29" xfId="0" applyNumberFormat="1" applyFont="1" applyBorder="1" applyAlignment="1">
      <alignment horizontal="center"/>
    </xf>
    <xf numFmtId="39" fontId="6" fillId="0" borderId="40" xfId="0" applyNumberFormat="1" applyFont="1" applyBorder="1" applyAlignment="1">
      <alignment horizontal="right"/>
    </xf>
    <xf numFmtId="39" fontId="6" fillId="3" borderId="48" xfId="0" applyNumberFormat="1" applyFont="1" applyFill="1" applyBorder="1" applyAlignment="1">
      <alignment horizontal="right"/>
    </xf>
    <xf numFmtId="166" fontId="6" fillId="3" borderId="29" xfId="1" applyNumberFormat="1" applyFont="1" applyFill="1" applyBorder="1" applyAlignment="1" applyProtection="1">
      <alignment horizontal="center"/>
    </xf>
    <xf numFmtId="166" fontId="6" fillId="3" borderId="29" xfId="0" applyNumberFormat="1" applyFont="1" applyFill="1" applyBorder="1" applyAlignment="1">
      <alignment horizontal="center"/>
    </xf>
    <xf numFmtId="166" fontId="6" fillId="3" borderId="30" xfId="0" applyNumberFormat="1" applyFont="1" applyFill="1" applyBorder="1" applyAlignment="1">
      <alignment horizontal="center"/>
    </xf>
    <xf numFmtId="166" fontId="6" fillId="3" borderId="38" xfId="1" applyNumberFormat="1" applyFont="1" applyFill="1" applyBorder="1" applyAlignment="1" applyProtection="1">
      <alignment horizontal="center"/>
    </xf>
    <xf numFmtId="0" fontId="12" fillId="0" borderId="20" xfId="0" applyFont="1" applyBorder="1" applyAlignment="1">
      <alignment horizontal="left"/>
    </xf>
    <xf numFmtId="0" fontId="2" fillId="0" borderId="21" xfId="0" applyFont="1" applyBorder="1" applyAlignment="1">
      <alignment horizontal="left"/>
    </xf>
    <xf numFmtId="0" fontId="4" fillId="0" borderId="17" xfId="0" applyFont="1" applyBorder="1" applyAlignment="1">
      <alignment horizontal="left"/>
    </xf>
    <xf numFmtId="0" fontId="12" fillId="0" borderId="1" xfId="0" applyFont="1" applyBorder="1" applyAlignment="1">
      <alignment horizontal="left"/>
    </xf>
    <xf numFmtId="39" fontId="4" fillId="0" borderId="50" xfId="0" applyNumberFormat="1" applyFont="1" applyBorder="1" applyAlignment="1">
      <alignment horizontal="right"/>
    </xf>
    <xf numFmtId="39" fontId="4" fillId="0" borderId="49" xfId="0" applyNumberFormat="1" applyFont="1" applyBorder="1" applyAlignment="1">
      <alignment horizontal="right"/>
    </xf>
    <xf numFmtId="167" fontId="4" fillId="0" borderId="51" xfId="1" applyNumberFormat="1" applyFont="1" applyBorder="1" applyAlignment="1">
      <alignment horizontal="center"/>
    </xf>
    <xf numFmtId="39" fontId="6" fillId="0" borderId="52" xfId="0" applyNumberFormat="1" applyFont="1" applyBorder="1" applyAlignment="1">
      <alignment horizontal="right" vertical="center"/>
    </xf>
    <xf numFmtId="166" fontId="6" fillId="0" borderId="54" xfId="0" applyNumberFormat="1" applyFont="1" applyBorder="1" applyAlignment="1">
      <alignment horizontal="center"/>
    </xf>
    <xf numFmtId="40" fontId="4" fillId="0" borderId="0" xfId="1" applyFont="1" applyAlignment="1" applyProtection="1">
      <alignment horizontal="right"/>
    </xf>
    <xf numFmtId="40" fontId="4" fillId="0" borderId="0" xfId="1" applyFont="1" applyFill="1" applyAlignment="1" applyProtection="1">
      <alignment horizontal="right"/>
    </xf>
    <xf numFmtId="166" fontId="4" fillId="0" borderId="0" xfId="1" applyNumberFormat="1" applyFont="1" applyFill="1" applyAlignment="1" applyProtection="1">
      <alignment horizontal="left"/>
    </xf>
    <xf numFmtId="2" fontId="2" fillId="0" borderId="0" xfId="0" applyNumberFormat="1" applyFont="1" applyAlignment="1">
      <alignment wrapText="1"/>
    </xf>
    <xf numFmtId="2" fontId="3" fillId="0" borderId="0" xfId="0" applyNumberFormat="1" applyFont="1" applyAlignment="1">
      <alignment wrapText="1"/>
    </xf>
    <xf numFmtId="2" fontId="2" fillId="0" borderId="0" xfId="0" applyNumberFormat="1" applyFont="1" applyAlignment="1">
      <alignment horizontal="right"/>
    </xf>
    <xf numFmtId="40" fontId="6" fillId="0" borderId="0" xfId="1" applyFont="1"/>
    <xf numFmtId="2" fontId="2" fillId="0" borderId="0" xfId="0" applyNumberFormat="1" applyFont="1" applyAlignment="1">
      <alignment vertical="top" wrapText="1"/>
    </xf>
    <xf numFmtId="38" fontId="4" fillId="0" borderId="0" xfId="1" applyNumberFormat="1" applyFont="1" applyFill="1"/>
    <xf numFmtId="38" fontId="4" fillId="0" borderId="0" xfId="1" applyNumberFormat="1" applyFont="1" applyFill="1" applyAlignment="1">
      <alignment vertical="top"/>
    </xf>
    <xf numFmtId="38" fontId="4" fillId="0" borderId="0" xfId="1" applyNumberFormat="1" applyFont="1"/>
    <xf numFmtId="38" fontId="4" fillId="0" borderId="0" xfId="1" applyNumberFormat="1" applyFont="1" applyProtection="1"/>
    <xf numFmtId="166" fontId="6" fillId="0" borderId="0" xfId="0" applyNumberFormat="1" applyFont="1"/>
    <xf numFmtId="169" fontId="6" fillId="0" borderId="0" xfId="0" applyNumberFormat="1" applyFont="1" applyAlignment="1">
      <alignment horizontal="left"/>
    </xf>
    <xf numFmtId="39" fontId="6" fillId="0" borderId="0" xfId="0" applyNumberFormat="1" applyFont="1" applyAlignment="1">
      <alignment horizontal="right" vertical="center"/>
    </xf>
    <xf numFmtId="0" fontId="21" fillId="0" borderId="18" xfId="0" applyFont="1" applyBorder="1" applyAlignment="1">
      <alignment horizontal="left" vertical="center"/>
    </xf>
    <xf numFmtId="0" fontId="21" fillId="0" borderId="8" xfId="0" applyFont="1" applyBorder="1" applyAlignment="1">
      <alignment horizontal="center" vertical="center" wrapText="1"/>
    </xf>
    <xf numFmtId="0" fontId="21" fillId="0" borderId="11" xfId="0" applyFont="1" applyBorder="1" applyAlignment="1">
      <alignment horizontal="left" vertical="center"/>
    </xf>
    <xf numFmtId="0" fontId="21" fillId="0" borderId="9" xfId="0" applyFont="1" applyBorder="1" applyAlignment="1">
      <alignment horizontal="center" vertical="center"/>
    </xf>
    <xf numFmtId="0" fontId="22" fillId="0" borderId="13" xfId="0" applyFont="1" applyBorder="1" applyAlignment="1">
      <alignment horizontal="left" vertical="center"/>
    </xf>
    <xf numFmtId="0" fontId="21" fillId="0" borderId="22" xfId="0" applyFont="1" applyBorder="1" applyAlignment="1">
      <alignment horizontal="left" vertical="center"/>
    </xf>
    <xf numFmtId="0" fontId="21" fillId="0" borderId="4" xfId="0" applyFont="1" applyBorder="1" applyAlignment="1">
      <alignment horizontal="left" vertical="center"/>
    </xf>
    <xf numFmtId="39" fontId="4" fillId="0" borderId="13" xfId="0" applyNumberFormat="1" applyFont="1" applyBorder="1" applyAlignment="1">
      <alignment horizontal="right"/>
    </xf>
    <xf numFmtId="39" fontId="4" fillId="0" borderId="4" xfId="0" applyNumberFormat="1" applyFont="1" applyBorder="1" applyAlignment="1">
      <alignment horizontal="right"/>
    </xf>
    <xf numFmtId="39" fontId="4" fillId="0" borderId="51" xfId="0" applyNumberFormat="1" applyFont="1" applyBorder="1" applyAlignment="1">
      <alignment horizontal="right"/>
    </xf>
    <xf numFmtId="39" fontId="4" fillId="0" borderId="21" xfId="0" applyNumberFormat="1" applyFont="1" applyBorder="1" applyAlignment="1">
      <alignment horizontal="right"/>
    </xf>
    <xf numFmtId="39" fontId="4" fillId="0" borderId="15" xfId="0" applyNumberFormat="1" applyFont="1" applyBorder="1" applyAlignment="1">
      <alignment horizontal="right"/>
    </xf>
    <xf numFmtId="39" fontId="4" fillId="0" borderId="5" xfId="0" applyNumberFormat="1" applyFont="1" applyBorder="1" applyAlignment="1">
      <alignment horizontal="right"/>
    </xf>
    <xf numFmtId="39" fontId="4" fillId="0" borderId="56" xfId="0" applyNumberFormat="1" applyFont="1" applyBorder="1" applyAlignment="1">
      <alignment horizontal="right"/>
    </xf>
    <xf numFmtId="0" fontId="21" fillId="0" borderId="3" xfId="0" applyFont="1" applyBorder="1" applyAlignment="1">
      <alignment horizontal="left" vertical="center"/>
    </xf>
    <xf numFmtId="14" fontId="4" fillId="0" borderId="3" xfId="1" applyNumberFormat="1" applyFont="1" applyBorder="1" applyAlignment="1">
      <alignment horizontal="left"/>
    </xf>
    <xf numFmtId="40" fontId="4" fillId="0" borderId="4" xfId="1" applyFont="1" applyBorder="1" applyAlignment="1">
      <alignment horizontal="left"/>
    </xf>
    <xf numFmtId="0" fontId="21" fillId="0" borderId="7"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left" vertical="center"/>
    </xf>
    <xf numFmtId="0" fontId="21" fillId="0" borderId="57" xfId="0" applyFont="1" applyBorder="1" applyAlignment="1">
      <alignment horizontal="left" vertical="center"/>
    </xf>
    <xf numFmtId="40" fontId="4" fillId="0" borderId="51" xfId="1" applyFont="1" applyBorder="1" applyAlignment="1">
      <alignment horizontal="left"/>
    </xf>
    <xf numFmtId="40" fontId="4" fillId="0" borderId="1" xfId="1" applyFont="1" applyBorder="1" applyAlignment="1">
      <alignment horizontal="left"/>
    </xf>
    <xf numFmtId="0" fontId="21" fillId="0" borderId="12" xfId="0" applyFont="1" applyBorder="1" applyAlignment="1">
      <alignment horizontal="center" vertical="center"/>
    </xf>
    <xf numFmtId="167" fontId="4" fillId="0" borderId="13" xfId="1" applyNumberFormat="1" applyFont="1" applyBorder="1" applyAlignment="1">
      <alignment horizontal="center"/>
    </xf>
    <xf numFmtId="167" fontId="4" fillId="0" borderId="15" xfId="1" applyNumberFormat="1" applyFont="1" applyBorder="1" applyAlignment="1">
      <alignment horizontal="center"/>
    </xf>
    <xf numFmtId="40" fontId="4" fillId="0" borderId="12" xfId="1" applyFont="1" applyBorder="1" applyAlignment="1">
      <alignment horizontal="left"/>
    </xf>
    <xf numFmtId="0" fontId="2" fillId="0" borderId="1" xfId="0" applyFont="1" applyBorder="1" applyAlignment="1">
      <alignment horizontal="left"/>
    </xf>
    <xf numFmtId="39" fontId="6" fillId="0" borderId="59" xfId="0" applyNumberFormat="1" applyFont="1" applyBorder="1" applyAlignment="1">
      <alignment horizontal="right" vertical="center"/>
    </xf>
    <xf numFmtId="0" fontId="4" fillId="0" borderId="0" xfId="0" quotePrefix="1" applyFont="1"/>
    <xf numFmtId="0" fontId="23" fillId="0" borderId="11" xfId="0" applyFont="1" applyBorder="1"/>
    <xf numFmtId="0" fontId="21" fillId="0" borderId="18" xfId="0" applyFont="1" applyBorder="1"/>
    <xf numFmtId="0" fontId="21" fillId="0" borderId="11" xfId="0" applyFont="1" applyBorder="1"/>
    <xf numFmtId="0" fontId="2" fillId="0" borderId="19" xfId="0" applyFont="1" applyBorder="1"/>
    <xf numFmtId="0" fontId="21" fillId="0" borderId="20" xfId="0" applyFont="1" applyBorder="1"/>
    <xf numFmtId="0" fontId="2" fillId="0" borderId="60" xfId="0" applyFont="1" applyBorder="1"/>
    <xf numFmtId="0" fontId="2" fillId="0" borderId="58" xfId="0" applyFont="1" applyBorder="1"/>
    <xf numFmtId="0" fontId="4" fillId="0" borderId="1" xfId="0" applyFont="1" applyBorder="1" applyAlignment="1">
      <alignment horizontal="left" vertical="top" wrapText="1"/>
    </xf>
    <xf numFmtId="168" fontId="7" fillId="5" borderId="0" xfId="0" applyNumberFormat="1" applyFont="1" applyFill="1"/>
    <xf numFmtId="0" fontId="7" fillId="5" borderId="0" xfId="0" applyFont="1" applyFill="1" applyAlignment="1">
      <alignment horizontal="center"/>
    </xf>
    <xf numFmtId="167" fontId="4" fillId="0" borderId="0" xfId="1" applyNumberFormat="1" applyFont="1" applyBorder="1" applyAlignment="1">
      <alignment horizontal="center"/>
    </xf>
    <xf numFmtId="39" fontId="6" fillId="0" borderId="19" xfId="0" applyNumberFormat="1" applyFont="1" applyBorder="1" applyAlignment="1">
      <alignment horizontal="right" vertical="center"/>
    </xf>
    <xf numFmtId="0" fontId="4" fillId="0" borderId="24" xfId="0" applyFont="1" applyBorder="1" applyAlignment="1">
      <alignment horizontal="left"/>
    </xf>
    <xf numFmtId="39" fontId="4" fillId="0" borderId="60" xfId="0" applyNumberFormat="1" applyFont="1" applyBorder="1" applyAlignment="1">
      <alignment horizontal="right"/>
    </xf>
    <xf numFmtId="40" fontId="4" fillId="0" borderId="0" xfId="0" applyNumberFormat="1" applyFont="1"/>
    <xf numFmtId="174" fontId="2" fillId="0" borderId="0" xfId="0" applyNumberFormat="1" applyFont="1"/>
    <xf numFmtId="10" fontId="4" fillId="0" borderId="0" xfId="2" applyNumberFormat="1" applyFont="1"/>
    <xf numFmtId="10" fontId="4" fillId="0" borderId="0" xfId="2" applyNumberFormat="1" applyFont="1" applyProtection="1"/>
    <xf numFmtId="0" fontId="11" fillId="5" borderId="0" xfId="0" applyFont="1" applyFill="1" applyAlignment="1">
      <alignment horizontal="left" wrapText="1"/>
    </xf>
    <xf numFmtId="0" fontId="4" fillId="0" borderId="0" xfId="0" applyFont="1" applyAlignment="1">
      <alignment horizontal="left" vertical="top" wrapText="1"/>
    </xf>
    <xf numFmtId="0" fontId="2" fillId="5" borderId="0" xfId="0" applyFont="1" applyFill="1"/>
    <xf numFmtId="0" fontId="2" fillId="0" borderId="16" xfId="0" applyFont="1" applyBorder="1"/>
    <xf numFmtId="0" fontId="3" fillId="0" borderId="0" xfId="0" applyFont="1"/>
    <xf numFmtId="167" fontId="4" fillId="0" borderId="4" xfId="0" applyNumberFormat="1" applyFont="1" applyBorder="1" applyAlignment="1">
      <alignment horizontal="center"/>
    </xf>
    <xf numFmtId="40" fontId="4" fillId="0" borderId="4" xfId="1" applyFont="1" applyBorder="1" applyAlignment="1">
      <alignment horizontal="right"/>
    </xf>
    <xf numFmtId="0" fontId="14" fillId="4" borderId="25" xfId="0" applyFont="1" applyFill="1" applyBorder="1"/>
    <xf numFmtId="0" fontId="15" fillId="4" borderId="26" xfId="3" applyFont="1" applyFill="1" applyBorder="1"/>
    <xf numFmtId="0" fontId="14" fillId="0" borderId="0" xfId="0" applyFont="1"/>
    <xf numFmtId="40" fontId="4" fillId="0" borderId="0" xfId="1" applyFont="1" applyFill="1"/>
    <xf numFmtId="0" fontId="2" fillId="4" borderId="26" xfId="0" quotePrefix="1" applyFont="1" applyFill="1" applyBorder="1" applyAlignment="1">
      <alignment horizontal="left" wrapText="1"/>
    </xf>
    <xf numFmtId="40" fontId="20" fillId="0" borderId="0" xfId="1" applyFont="1" applyFill="1" applyBorder="1" applyAlignment="1" applyProtection="1">
      <alignment horizontal="left"/>
    </xf>
    <xf numFmtId="0" fontId="4" fillId="0" borderId="7" xfId="0" applyFont="1" applyBorder="1" applyAlignment="1">
      <alignment horizontal="center"/>
    </xf>
    <xf numFmtId="0" fontId="4" fillId="0" borderId="17" xfId="0" applyFont="1" applyBorder="1" applyAlignment="1">
      <alignment horizontal="center"/>
    </xf>
    <xf numFmtId="0" fontId="20" fillId="0" borderId="0" xfId="0" applyFont="1" applyAlignment="1">
      <alignment vertical="center" wrapText="1"/>
    </xf>
    <xf numFmtId="0" fontId="20" fillId="0" borderId="0" xfId="0" applyFont="1"/>
    <xf numFmtId="0" fontId="4" fillId="0" borderId="3" xfId="0" applyFont="1" applyBorder="1" applyAlignment="1">
      <alignment horizontal="left"/>
    </xf>
    <xf numFmtId="0" fontId="4" fillId="0" borderId="8" xfId="0" applyFont="1" applyBorder="1" applyAlignment="1">
      <alignment horizontal="center"/>
    </xf>
    <xf numFmtId="0" fontId="2" fillId="0" borderId="21" xfId="0" applyFont="1" applyBorder="1"/>
    <xf numFmtId="0" fontId="4" fillId="0" borderId="0" xfId="0" applyFont="1" applyAlignment="1">
      <alignment horizontal="right"/>
    </xf>
    <xf numFmtId="0" fontId="6" fillId="0" borderId="61" xfId="0" applyFont="1" applyBorder="1" applyAlignment="1">
      <alignment horizontal="left"/>
    </xf>
    <xf numFmtId="0" fontId="4" fillId="0" borderId="57" xfId="0" applyFont="1" applyBorder="1" applyAlignment="1">
      <alignment horizontal="left"/>
    </xf>
    <xf numFmtId="167" fontId="4" fillId="0" borderId="57" xfId="1" applyNumberFormat="1" applyFont="1" applyBorder="1" applyAlignment="1">
      <alignment horizontal="center"/>
    </xf>
    <xf numFmtId="40" fontId="4" fillId="0" borderId="61" xfId="1" applyFont="1" applyBorder="1" applyAlignment="1">
      <alignment horizontal="left"/>
    </xf>
    <xf numFmtId="0" fontId="15" fillId="4" borderId="27" xfId="3" applyFont="1" applyFill="1" applyBorder="1" applyProtection="1"/>
    <xf numFmtId="0" fontId="2" fillId="0" borderId="11" xfId="0" applyFont="1" applyBorder="1"/>
    <xf numFmtId="0" fontId="2" fillId="0" borderId="11" xfId="0" applyFont="1" applyBorder="1" applyAlignment="1">
      <alignment vertical="top" wrapText="1"/>
    </xf>
    <xf numFmtId="176" fontId="4" fillId="0" borderId="0" xfId="1" applyNumberFormat="1" applyFont="1" applyProtection="1"/>
    <xf numFmtId="40" fontId="2" fillId="0" borderId="0" xfId="0" applyNumberFormat="1" applyFont="1"/>
    <xf numFmtId="177" fontId="2" fillId="0" borderId="0" xfId="0" applyNumberFormat="1" applyFont="1"/>
    <xf numFmtId="0" fontId="25" fillId="0" borderId="0" xfId="0" applyFont="1"/>
    <xf numFmtId="0" fontId="26" fillId="0" borderId="0" xfId="0" applyFont="1"/>
    <xf numFmtId="0" fontId="28" fillId="0" borderId="0" xfId="0" applyFont="1"/>
    <xf numFmtId="0" fontId="26" fillId="0" borderId="0" xfId="0" quotePrefix="1" applyFont="1"/>
    <xf numFmtId="0" fontId="25" fillId="0" borderId="0" xfId="0" quotePrefix="1" applyFont="1"/>
    <xf numFmtId="0" fontId="28" fillId="0" borderId="0" xfId="0" applyFont="1" applyAlignment="1">
      <alignment vertical="top"/>
    </xf>
    <xf numFmtId="0" fontId="27" fillId="0" borderId="0" xfId="0" applyFont="1"/>
    <xf numFmtId="0" fontId="29" fillId="0" borderId="0" xfId="0" applyFont="1"/>
    <xf numFmtId="14" fontId="27" fillId="0" borderId="0" xfId="0" quotePrefix="1" applyNumberFormat="1" applyFont="1"/>
    <xf numFmtId="0" fontId="27" fillId="0" borderId="0" xfId="0" quotePrefix="1" applyFont="1"/>
    <xf numFmtId="0" fontId="30" fillId="0" borderId="0" xfId="0" applyFont="1"/>
    <xf numFmtId="0" fontId="27" fillId="0" borderId="0" xfId="0" applyFont="1" applyAlignment="1">
      <alignment vertical="center"/>
    </xf>
    <xf numFmtId="0" fontId="25" fillId="0" borderId="1" xfId="0" applyFont="1" applyBorder="1"/>
    <xf numFmtId="0" fontId="25" fillId="0" borderId="1" xfId="0" quotePrefix="1" applyFont="1" applyBorder="1"/>
    <xf numFmtId="0" fontId="26" fillId="0" borderId="1" xfId="0" applyFont="1" applyBorder="1"/>
    <xf numFmtId="0" fontId="27" fillId="0" borderId="1" xfId="0" applyFont="1" applyBorder="1"/>
    <xf numFmtId="0" fontId="26" fillId="0" borderId="0" xfId="0" applyFont="1" applyAlignment="1">
      <alignment vertical="top"/>
    </xf>
    <xf numFmtId="0" fontId="25" fillId="0" borderId="17" xfId="0" applyFont="1" applyBorder="1"/>
    <xf numFmtId="0" fontId="25" fillId="0" borderId="17" xfId="0" quotePrefix="1" applyFont="1" applyBorder="1"/>
    <xf numFmtId="0" fontId="26" fillId="0" borderId="17" xfId="0" applyFont="1" applyBorder="1"/>
    <xf numFmtId="0" fontId="25" fillId="0" borderId="0" xfId="0" applyFont="1" applyAlignment="1">
      <alignment horizontal="left"/>
    </xf>
    <xf numFmtId="178" fontId="27" fillId="0" borderId="0" xfId="0" applyNumberFormat="1" applyFont="1" applyAlignment="1">
      <alignment horizontal="right"/>
    </xf>
    <xf numFmtId="0" fontId="27" fillId="0" borderId="0" xfId="0" applyFont="1" applyAlignment="1">
      <alignment horizontal="right"/>
    </xf>
    <xf numFmtId="0" fontId="26" fillId="0" borderId="0" xfId="0" applyFont="1" applyAlignment="1">
      <alignment horizontal="left"/>
    </xf>
    <xf numFmtId="0" fontId="28" fillId="0" borderId="0" xfId="0" applyFont="1" applyAlignment="1">
      <alignment wrapText="1"/>
    </xf>
    <xf numFmtId="0" fontId="32" fillId="0" borderId="0" xfId="0" applyFont="1"/>
    <xf numFmtId="3" fontId="2" fillId="0" borderId="0" xfId="1" applyNumberFormat="1" applyFont="1" applyFill="1"/>
    <xf numFmtId="3" fontId="2" fillId="0" borderId="0" xfId="1" applyNumberFormat="1" applyFont="1" applyFill="1" applyBorder="1"/>
    <xf numFmtId="3" fontId="2" fillId="0" borderId="0" xfId="1" applyNumberFormat="1" applyFont="1"/>
    <xf numFmtId="40" fontId="2" fillId="0" borderId="0" xfId="1" applyFont="1"/>
    <xf numFmtId="40" fontId="2" fillId="0" borderId="0" xfId="1" applyFont="1" applyFill="1"/>
    <xf numFmtId="40" fontId="2" fillId="0" borderId="0" xfId="1" applyFont="1" applyFill="1" applyBorder="1"/>
    <xf numFmtId="0" fontId="2" fillId="0" borderId="0" xfId="0" applyFont="1" applyAlignment="1">
      <alignment horizontal="left" vertical="top" wrapText="1"/>
    </xf>
    <xf numFmtId="0" fontId="2" fillId="0" borderId="0" xfId="0" applyFont="1" applyAlignment="1">
      <alignment vertical="top" wrapText="1"/>
    </xf>
    <xf numFmtId="0" fontId="2" fillId="0" borderId="0" xfId="0" applyFont="1" applyAlignment="1">
      <alignment horizontal="left"/>
    </xf>
    <xf numFmtId="9" fontId="5" fillId="0" borderId="0" xfId="2" applyFont="1" applyFill="1" applyBorder="1" applyAlignment="1" applyProtection="1">
      <alignment horizontal="left"/>
      <protection locked="0"/>
    </xf>
    <xf numFmtId="40" fontId="4" fillId="0" borderId="0" xfId="1" applyFont="1" applyBorder="1" applyAlignment="1">
      <alignment horizontal="right"/>
    </xf>
    <xf numFmtId="166" fontId="6" fillId="6" borderId="29" xfId="0" applyNumberFormat="1" applyFont="1" applyFill="1" applyBorder="1" applyAlignment="1">
      <alignment horizontal="center"/>
    </xf>
    <xf numFmtId="166" fontId="6" fillId="6" borderId="30" xfId="0" applyNumberFormat="1" applyFont="1" applyFill="1" applyBorder="1" applyAlignment="1">
      <alignment horizontal="center"/>
    </xf>
    <xf numFmtId="166" fontId="6" fillId="6" borderId="38" xfId="1" applyNumberFormat="1" applyFont="1" applyFill="1" applyBorder="1" applyAlignment="1" applyProtection="1">
      <alignment horizontal="center"/>
    </xf>
    <xf numFmtId="39" fontId="6" fillId="6" borderId="31" xfId="0" applyNumberFormat="1" applyFont="1" applyFill="1" applyBorder="1" applyAlignment="1">
      <alignment horizontal="right"/>
    </xf>
    <xf numFmtId="39" fontId="6" fillId="6" borderId="6" xfId="0" applyNumberFormat="1" applyFont="1" applyFill="1" applyBorder="1" applyAlignment="1">
      <alignment horizontal="right"/>
    </xf>
    <xf numFmtId="39" fontId="6" fillId="3" borderId="30" xfId="0" applyNumberFormat="1" applyFont="1" applyFill="1" applyBorder="1" applyAlignment="1">
      <alignment horizontal="right"/>
    </xf>
    <xf numFmtId="39" fontId="6" fillId="6" borderId="30" xfId="0" applyNumberFormat="1" applyFont="1" applyFill="1" applyBorder="1" applyAlignment="1">
      <alignment horizontal="right"/>
    </xf>
    <xf numFmtId="40" fontId="6" fillId="0" borderId="0" xfId="1" applyFont="1" applyFill="1" applyBorder="1" applyProtection="1"/>
    <xf numFmtId="39" fontId="6" fillId="6" borderId="33" xfId="0" applyNumberFormat="1" applyFont="1" applyFill="1" applyBorder="1" applyAlignment="1">
      <alignment horizontal="right"/>
    </xf>
    <xf numFmtId="40" fontId="4" fillId="0" borderId="0" xfId="1" applyFont="1" applyAlignment="1" applyProtection="1"/>
    <xf numFmtId="39" fontId="6" fillId="3" borderId="40" xfId="0" applyNumberFormat="1" applyFont="1" applyFill="1" applyBorder="1" applyAlignment="1">
      <alignment horizontal="right"/>
    </xf>
    <xf numFmtId="39" fontId="4" fillId="0" borderId="5" xfId="1" applyNumberFormat="1" applyFont="1" applyFill="1" applyBorder="1" applyAlignment="1" applyProtection="1">
      <alignment horizontal="right"/>
    </xf>
    <xf numFmtId="39" fontId="4" fillId="0" borderId="36" xfId="1" applyNumberFormat="1" applyFont="1" applyFill="1" applyBorder="1" applyAlignment="1" applyProtection="1">
      <alignment horizontal="right"/>
    </xf>
    <xf numFmtId="39" fontId="4" fillId="0" borderId="10" xfId="1" applyNumberFormat="1" applyFont="1" applyFill="1" applyBorder="1" applyAlignment="1" applyProtection="1">
      <alignment horizontal="right"/>
    </xf>
    <xf numFmtId="39" fontId="4" fillId="0" borderId="6" xfId="1" applyNumberFormat="1" applyFont="1" applyFill="1" applyBorder="1" applyAlignment="1" applyProtection="1">
      <alignment horizontal="right"/>
    </xf>
    <xf numFmtId="39" fontId="4" fillId="0" borderId="31" xfId="1" applyNumberFormat="1" applyFont="1" applyFill="1" applyBorder="1" applyAlignment="1" applyProtection="1">
      <alignment horizontal="right"/>
    </xf>
    <xf numFmtId="39" fontId="6" fillId="0" borderId="36" xfId="1" applyNumberFormat="1" applyFont="1" applyFill="1" applyBorder="1" applyAlignment="1" applyProtection="1">
      <alignment horizontal="right"/>
    </xf>
    <xf numFmtId="39" fontId="6" fillId="0" borderId="31" xfId="1" applyNumberFormat="1" applyFont="1" applyFill="1" applyBorder="1" applyAlignment="1" applyProtection="1">
      <alignment horizontal="right"/>
    </xf>
    <xf numFmtId="39" fontId="6" fillId="0" borderId="35" xfId="1" applyNumberFormat="1" applyFont="1" applyFill="1" applyBorder="1" applyAlignment="1" applyProtection="1">
      <alignment horizontal="right"/>
    </xf>
    <xf numFmtId="39" fontId="6" fillId="0" borderId="34" xfId="1" applyNumberFormat="1" applyFont="1" applyFill="1" applyBorder="1" applyAlignment="1" applyProtection="1">
      <alignment horizontal="right"/>
    </xf>
    <xf numFmtId="179" fontId="2" fillId="0" borderId="0" xfId="0" applyNumberFormat="1" applyFont="1"/>
    <xf numFmtId="0" fontId="13" fillId="4" borderId="27" xfId="0" applyFont="1" applyFill="1" applyBorder="1"/>
    <xf numFmtId="38" fontId="4" fillId="0" borderId="0" xfId="0" applyNumberFormat="1" applyFont="1" applyAlignment="1">
      <alignment horizontal="right"/>
    </xf>
    <xf numFmtId="180" fontId="4" fillId="0" borderId="0" xfId="0" applyNumberFormat="1" applyFont="1"/>
    <xf numFmtId="181" fontId="4" fillId="0" borderId="0" xfId="1" applyNumberFormat="1" applyFont="1"/>
    <xf numFmtId="181" fontId="6" fillId="0" borderId="0" xfId="1" applyNumberFormat="1" applyFont="1"/>
    <xf numFmtId="181" fontId="6" fillId="0" borderId="0" xfId="1" applyNumberFormat="1" applyFont="1" applyFill="1" applyBorder="1" applyAlignment="1" applyProtection="1">
      <alignment horizontal="right"/>
      <protection locked="0"/>
    </xf>
    <xf numFmtId="0" fontId="6" fillId="0" borderId="64" xfId="0" applyFont="1" applyBorder="1"/>
    <xf numFmtId="0" fontId="6" fillId="0" borderId="65" xfId="0" applyFont="1" applyBorder="1" applyAlignment="1">
      <alignment horizontal="left"/>
    </xf>
    <xf numFmtId="0" fontId="2" fillId="0" borderId="66" xfId="0" applyFont="1" applyBorder="1"/>
    <xf numFmtId="0" fontId="4" fillId="0" borderId="67" xfId="0" applyFont="1" applyBorder="1"/>
    <xf numFmtId="0" fontId="2" fillId="0" borderId="68" xfId="0" applyFont="1" applyBorder="1"/>
    <xf numFmtId="165" fontId="4" fillId="0" borderId="0" xfId="0" applyNumberFormat="1" applyFont="1"/>
    <xf numFmtId="165" fontId="4" fillId="0" borderId="68" xfId="0" applyNumberFormat="1" applyFont="1" applyBorder="1"/>
    <xf numFmtId="170" fontId="4" fillId="0" borderId="68" xfId="0" applyNumberFormat="1" applyFont="1" applyBorder="1"/>
    <xf numFmtId="0" fontId="2" fillId="0" borderId="67" xfId="0" applyFont="1" applyBorder="1"/>
    <xf numFmtId="164" fontId="4" fillId="0" borderId="68" xfId="0" applyNumberFormat="1" applyFont="1" applyBorder="1"/>
    <xf numFmtId="0" fontId="4" fillId="0" borderId="69" xfId="0" applyFont="1" applyBorder="1"/>
    <xf numFmtId="170" fontId="4" fillId="0" borderId="70" xfId="0" applyNumberFormat="1" applyFont="1" applyBorder="1"/>
    <xf numFmtId="0" fontId="4" fillId="0" borderId="74" xfId="0" applyFont="1" applyBorder="1"/>
    <xf numFmtId="0" fontId="4" fillId="0" borderId="75" xfId="0" applyFont="1" applyBorder="1"/>
    <xf numFmtId="0" fontId="4" fillId="0" borderId="65" xfId="0" applyFont="1" applyBorder="1"/>
    <xf numFmtId="0" fontId="6" fillId="0" borderId="65" xfId="0" applyFont="1" applyBorder="1" applyAlignment="1">
      <alignment horizontal="right"/>
    </xf>
    <xf numFmtId="40" fontId="3" fillId="0" borderId="66" xfId="1" applyFont="1" applyBorder="1" applyAlignment="1">
      <alignment horizontal="right"/>
    </xf>
    <xf numFmtId="40" fontId="2" fillId="0" borderId="68" xfId="1" applyFont="1" applyBorder="1"/>
    <xf numFmtId="40" fontId="4" fillId="0" borderId="41" xfId="1" applyFont="1" applyFill="1" applyBorder="1" applyAlignment="1">
      <alignment horizontal="right" vertical="center"/>
    </xf>
    <xf numFmtId="40" fontId="2" fillId="0" borderId="70" xfId="1" applyFont="1" applyBorder="1"/>
    <xf numFmtId="0" fontId="4" fillId="0" borderId="0" xfId="0" applyFont="1" applyProtection="1">
      <protection locked="0"/>
    </xf>
    <xf numFmtId="169" fontId="6" fillId="0" borderId="76" xfId="1" applyNumberFormat="1" applyFont="1" applyFill="1" applyBorder="1" applyAlignment="1">
      <alignment horizontal="right"/>
    </xf>
    <xf numFmtId="0" fontId="4" fillId="0" borderId="12" xfId="0" applyFont="1" applyBorder="1"/>
    <xf numFmtId="0" fontId="16" fillId="0" borderId="77" xfId="0" applyFont="1" applyBorder="1" applyAlignment="1">
      <alignment horizontal="left"/>
    </xf>
    <xf numFmtId="0" fontId="16" fillId="0" borderId="77" xfId="0" applyFont="1" applyBorder="1" applyAlignment="1">
      <alignment horizontal="left" wrapText="1"/>
    </xf>
    <xf numFmtId="0" fontId="16" fillId="0" borderId="77" xfId="0" applyFont="1" applyBorder="1" applyAlignment="1">
      <alignment horizontal="left" vertical="top" wrapText="1"/>
    </xf>
    <xf numFmtId="0" fontId="18" fillId="0" borderId="78" xfId="0" applyFont="1" applyBorder="1" applyAlignment="1">
      <alignment horizontal="left"/>
    </xf>
    <xf numFmtId="0" fontId="16" fillId="0" borderId="14" xfId="0" applyFont="1" applyBorder="1" applyAlignment="1">
      <alignment horizontal="left"/>
    </xf>
    <xf numFmtId="0" fontId="16" fillId="0" borderId="12" xfId="0" applyFont="1" applyBorder="1" applyAlignment="1">
      <alignment horizontal="left"/>
    </xf>
    <xf numFmtId="0" fontId="16" fillId="0" borderId="79" xfId="0" applyFont="1" applyBorder="1" applyAlignment="1">
      <alignment horizontal="left"/>
    </xf>
    <xf numFmtId="0" fontId="6" fillId="3" borderId="76" xfId="0" applyFont="1" applyFill="1" applyBorder="1"/>
    <xf numFmtId="0" fontId="4" fillId="3" borderId="12" xfId="0" applyFont="1" applyFill="1" applyBorder="1"/>
    <xf numFmtId="0" fontId="16" fillId="3" borderId="77" xfId="0" applyFont="1" applyFill="1" applyBorder="1"/>
    <xf numFmtId="0" fontId="4" fillId="3" borderId="80" xfId="0" applyFont="1" applyFill="1" applyBorder="1" applyAlignment="1">
      <alignment wrapText="1"/>
    </xf>
    <xf numFmtId="0" fontId="6" fillId="6" borderId="76" xfId="0" applyFont="1" applyFill="1" applyBorder="1" applyAlignment="1">
      <alignment wrapText="1"/>
    </xf>
    <xf numFmtId="0" fontId="4" fillId="6" borderId="77" xfId="0" applyFont="1" applyFill="1" applyBorder="1"/>
    <xf numFmtId="0" fontId="16" fillId="6" borderId="77" xfId="0" applyFont="1" applyFill="1" applyBorder="1"/>
    <xf numFmtId="0" fontId="4" fillId="6" borderId="80" xfId="0" applyFont="1" applyFill="1" applyBorder="1"/>
    <xf numFmtId="39" fontId="4" fillId="0" borderId="5" xfId="1" applyNumberFormat="1" applyFont="1" applyFill="1" applyBorder="1" applyAlignment="1" applyProtection="1">
      <alignment horizontal="right"/>
      <protection locked="0"/>
    </xf>
    <xf numFmtId="39" fontId="4" fillId="0" borderId="31" xfId="1" applyNumberFormat="1" applyFont="1" applyFill="1" applyBorder="1" applyAlignment="1" applyProtection="1">
      <alignment horizontal="right"/>
      <protection locked="0"/>
    </xf>
    <xf numFmtId="39" fontId="4" fillId="0" borderId="6" xfId="1" applyNumberFormat="1" applyFont="1" applyFill="1" applyBorder="1" applyAlignment="1" applyProtection="1">
      <alignment horizontal="right"/>
      <protection locked="0"/>
    </xf>
    <xf numFmtId="39" fontId="4" fillId="0" borderId="6" xfId="1" quotePrefix="1" applyNumberFormat="1" applyFont="1" applyFill="1" applyBorder="1" applyAlignment="1" applyProtection="1">
      <alignment horizontal="right"/>
      <protection locked="0"/>
    </xf>
    <xf numFmtId="39" fontId="4" fillId="0" borderId="36" xfId="1" quotePrefix="1" applyNumberFormat="1" applyFont="1" applyFill="1" applyBorder="1" applyAlignment="1" applyProtection="1">
      <alignment horizontal="right"/>
      <protection locked="0"/>
    </xf>
    <xf numFmtId="39" fontId="6" fillId="0" borderId="37" xfId="1" applyNumberFormat="1" applyFont="1" applyFill="1" applyBorder="1" applyAlignment="1" applyProtection="1">
      <alignment horizontal="right"/>
    </xf>
    <xf numFmtId="39" fontId="6" fillId="3" borderId="5" xfId="1" applyNumberFormat="1" applyFont="1" applyFill="1" applyBorder="1" applyAlignment="1" applyProtection="1">
      <alignment horizontal="right"/>
    </xf>
    <xf numFmtId="39" fontId="6" fillId="3" borderId="31" xfId="1" applyNumberFormat="1" applyFont="1" applyFill="1" applyBorder="1" applyAlignment="1" applyProtection="1">
      <alignment horizontal="right"/>
    </xf>
    <xf numFmtId="39" fontId="6" fillId="3" borderId="6" xfId="1" applyNumberFormat="1" applyFont="1" applyFill="1" applyBorder="1" applyAlignment="1" applyProtection="1">
      <alignment horizontal="right"/>
    </xf>
    <xf numFmtId="39" fontId="6" fillId="3" borderId="32" xfId="1" applyNumberFormat="1" applyFont="1" applyFill="1" applyBorder="1" applyAlignment="1" applyProtection="1">
      <alignment horizontal="right"/>
    </xf>
    <xf numFmtId="39" fontId="6" fillId="3" borderId="33" xfId="1" applyNumberFormat="1" applyFont="1" applyFill="1" applyBorder="1" applyAlignment="1" applyProtection="1">
      <alignment horizontal="right"/>
    </xf>
    <xf numFmtId="39" fontId="6" fillId="6" borderId="6" xfId="1" applyNumberFormat="1" applyFont="1" applyFill="1" applyBorder="1" applyAlignment="1" applyProtection="1">
      <alignment horizontal="right"/>
    </xf>
    <xf numFmtId="39" fontId="6" fillId="6" borderId="31" xfId="1" applyNumberFormat="1" applyFont="1" applyFill="1" applyBorder="1" applyAlignment="1" applyProtection="1">
      <alignment horizontal="right"/>
    </xf>
    <xf numFmtId="39" fontId="6" fillId="6" borderId="32" xfId="1" applyNumberFormat="1" applyFont="1" applyFill="1" applyBorder="1" applyAlignment="1" applyProtection="1">
      <alignment horizontal="right"/>
    </xf>
    <xf numFmtId="39" fontId="6" fillId="6" borderId="33" xfId="1" applyNumberFormat="1" applyFont="1" applyFill="1" applyBorder="1" applyAlignment="1" applyProtection="1">
      <alignment horizontal="right"/>
    </xf>
    <xf numFmtId="39" fontId="6" fillId="6" borderId="10" xfId="1" applyNumberFormat="1" applyFont="1" applyFill="1" applyBorder="1" applyAlignment="1" applyProtection="1">
      <alignment horizontal="right"/>
    </xf>
    <xf numFmtId="39" fontId="6" fillId="6" borderId="62" xfId="1" applyNumberFormat="1" applyFont="1" applyFill="1" applyBorder="1" applyAlignment="1" applyProtection="1">
      <alignment horizontal="right"/>
    </xf>
    <xf numFmtId="39" fontId="6" fillId="3" borderId="10" xfId="1" applyNumberFormat="1" applyFont="1" applyFill="1" applyBorder="1" applyAlignment="1" applyProtection="1">
      <alignment horizontal="right"/>
    </xf>
    <xf numFmtId="39" fontId="6" fillId="0" borderId="40" xfId="1" quotePrefix="1" applyNumberFormat="1" applyFont="1" applyFill="1" applyBorder="1" applyAlignment="1" applyProtection="1">
      <alignment horizontal="right"/>
    </xf>
    <xf numFmtId="39" fontId="4" fillId="0" borderId="10" xfId="1" applyNumberFormat="1" applyFont="1" applyFill="1" applyBorder="1" applyAlignment="1" applyProtection="1">
      <alignment horizontal="right"/>
      <protection locked="0"/>
    </xf>
    <xf numFmtId="39" fontId="6" fillId="0" borderId="40" xfId="1" applyNumberFormat="1" applyFont="1" applyFill="1" applyBorder="1" applyAlignment="1" applyProtection="1">
      <alignment horizontal="right"/>
    </xf>
    <xf numFmtId="39" fontId="4" fillId="0" borderId="31" xfId="1" quotePrefix="1" applyNumberFormat="1" applyFont="1" applyFill="1" applyBorder="1" applyAlignment="1" applyProtection="1">
      <alignment horizontal="right"/>
      <protection locked="0"/>
    </xf>
    <xf numFmtId="39" fontId="6" fillId="0" borderId="39" xfId="1" applyNumberFormat="1" applyFont="1" applyFill="1" applyBorder="1" applyAlignment="1" applyProtection="1">
      <alignment horizontal="right"/>
    </xf>
    <xf numFmtId="39" fontId="6" fillId="0" borderId="55" xfId="1" applyNumberFormat="1" applyFont="1" applyFill="1" applyBorder="1" applyAlignment="1" applyProtection="1">
      <alignment horizontal="right"/>
    </xf>
    <xf numFmtId="9" fontId="4" fillId="7" borderId="0" xfId="2" applyFont="1" applyFill="1" applyProtection="1">
      <protection locked="0"/>
    </xf>
    <xf numFmtId="39" fontId="4" fillId="0" borderId="81" xfId="1" applyNumberFormat="1" applyFont="1" applyFill="1" applyBorder="1" applyAlignment="1" applyProtection="1">
      <alignment horizontal="right"/>
    </xf>
    <xf numFmtId="169" fontId="6" fillId="0" borderId="82" xfId="1" applyNumberFormat="1" applyFont="1" applyFill="1" applyBorder="1" applyAlignment="1">
      <alignment horizontal="right"/>
    </xf>
    <xf numFmtId="0" fontId="4" fillId="0" borderId="83" xfId="0" applyFont="1" applyBorder="1"/>
    <xf numFmtId="0" fontId="16" fillId="0" borderId="84" xfId="0" applyFont="1" applyBorder="1" applyAlignment="1">
      <alignment horizontal="left"/>
    </xf>
    <xf numFmtId="0" fontId="16" fillId="0" borderId="84" xfId="0" applyFont="1" applyBorder="1" applyAlignment="1">
      <alignment horizontal="left" wrapText="1"/>
    </xf>
    <xf numFmtId="0" fontId="16" fillId="0" borderId="84" xfId="0" applyFont="1" applyBorder="1" applyAlignment="1">
      <alignment horizontal="left" vertical="top" wrapText="1"/>
    </xf>
    <xf numFmtId="0" fontId="18" fillId="0" borderId="85" xfId="0" applyFont="1" applyBorder="1" applyAlignment="1">
      <alignment horizontal="left"/>
    </xf>
    <xf numFmtId="0" fontId="16" fillId="0" borderId="86" xfId="0" applyFont="1" applyBorder="1" applyAlignment="1">
      <alignment horizontal="left"/>
    </xf>
    <xf numFmtId="0" fontId="16" fillId="0" borderId="69" xfId="0" applyFont="1" applyBorder="1" applyAlignment="1">
      <alignment horizontal="left"/>
    </xf>
    <xf numFmtId="0" fontId="6" fillId="3" borderId="82" xfId="0" applyFont="1" applyFill="1" applyBorder="1"/>
    <xf numFmtId="0" fontId="4" fillId="3" borderId="83" xfId="0" applyFont="1" applyFill="1" applyBorder="1"/>
    <xf numFmtId="0" fontId="16" fillId="3" borderId="84" xfId="0" applyFont="1" applyFill="1" applyBorder="1"/>
    <xf numFmtId="0" fontId="4" fillId="3" borderId="88" xfId="0" applyFont="1" applyFill="1" applyBorder="1" applyAlignment="1">
      <alignment wrapText="1"/>
    </xf>
    <xf numFmtId="0" fontId="6" fillId="6" borderId="82" xfId="0" applyFont="1" applyFill="1" applyBorder="1" applyAlignment="1">
      <alignment wrapText="1"/>
    </xf>
    <xf numFmtId="0" fontId="4" fillId="6" borderId="84" xfId="0" applyFont="1" applyFill="1" applyBorder="1"/>
    <xf numFmtId="0" fontId="16" fillId="6" borderId="84" xfId="0" applyFont="1" applyFill="1" applyBorder="1"/>
    <xf numFmtId="0" fontId="4" fillId="6" borderId="88" xfId="0" applyFont="1" applyFill="1" applyBorder="1"/>
    <xf numFmtId="0" fontId="16" fillId="0" borderId="8" xfId="0" applyFont="1" applyBorder="1" applyAlignment="1">
      <alignment horizontal="left"/>
    </xf>
    <xf numFmtId="39" fontId="16" fillId="0" borderId="84" xfId="0" applyNumberFormat="1" applyFont="1" applyBorder="1" applyAlignment="1">
      <alignment horizontal="left"/>
    </xf>
    <xf numFmtId="39" fontId="16" fillId="0" borderId="86" xfId="0" applyNumberFormat="1" applyFont="1" applyBorder="1" applyAlignment="1">
      <alignment horizontal="left"/>
    </xf>
    <xf numFmtId="0" fontId="5" fillId="0" borderId="0" xfId="0" applyFont="1" applyAlignment="1" applyProtection="1">
      <alignment horizontal="left"/>
      <protection locked="0"/>
    </xf>
    <xf numFmtId="0" fontId="4" fillId="0" borderId="77" xfId="0" applyFont="1" applyBorder="1"/>
    <xf numFmtId="39" fontId="6" fillId="0" borderId="89" xfId="1" applyNumberFormat="1" applyFont="1" applyFill="1" applyBorder="1" applyAlignment="1">
      <alignment horizontal="right"/>
    </xf>
    <xf numFmtId="39" fontId="4" fillId="0" borderId="91" xfId="1" applyNumberFormat="1" applyFont="1" applyFill="1" applyBorder="1" applyAlignment="1">
      <alignment horizontal="right"/>
    </xf>
    <xf numFmtId="39" fontId="6" fillId="0" borderId="90" xfId="1" applyNumberFormat="1" applyFont="1" applyFill="1" applyBorder="1" applyAlignment="1">
      <alignment horizontal="right"/>
    </xf>
    <xf numFmtId="39" fontId="4" fillId="0" borderId="92" xfId="1" applyNumberFormat="1" applyFont="1" applyFill="1" applyBorder="1" applyAlignment="1">
      <alignment horizontal="right"/>
    </xf>
    <xf numFmtId="0" fontId="18" fillId="0" borderId="87" xfId="0" applyFont="1" applyBorder="1" applyAlignment="1">
      <alignment horizontal="left"/>
    </xf>
    <xf numFmtId="0" fontId="18" fillId="0" borderId="93" xfId="0" applyFont="1" applyBorder="1" applyAlignment="1">
      <alignment horizontal="left"/>
    </xf>
    <xf numFmtId="0" fontId="4" fillId="0" borderId="84" xfId="0" applyFont="1" applyBorder="1"/>
    <xf numFmtId="0" fontId="16" fillId="0" borderId="94" xfId="0" applyFont="1" applyBorder="1" applyAlignment="1">
      <alignment horizontal="left"/>
    </xf>
    <xf numFmtId="0" fontId="16" fillId="0" borderId="95" xfId="0" applyFont="1" applyBorder="1" applyAlignment="1">
      <alignment horizontal="left"/>
    </xf>
    <xf numFmtId="0" fontId="14" fillId="0" borderId="0" xfId="0" applyFont="1" applyAlignment="1">
      <alignment horizontal="left"/>
    </xf>
    <xf numFmtId="0" fontId="2" fillId="0" borderId="0" xfId="0" applyFont="1" applyAlignment="1">
      <alignment vertical="top"/>
    </xf>
    <xf numFmtId="0" fontId="15" fillId="0" borderId="0" xfId="3" applyFont="1" applyAlignment="1">
      <alignment vertical="top"/>
    </xf>
    <xf numFmtId="0" fontId="2" fillId="2" borderId="63" xfId="0" applyFont="1" applyFill="1" applyBorder="1" applyAlignment="1">
      <alignment vertical="top"/>
    </xf>
    <xf numFmtId="0" fontId="34" fillId="4" borderId="63" xfId="0" applyFont="1" applyFill="1" applyBorder="1" applyAlignment="1">
      <alignment vertical="top"/>
    </xf>
    <xf numFmtId="0" fontId="34" fillId="0" borderId="63" xfId="0" applyFont="1" applyBorder="1" applyAlignment="1">
      <alignment vertical="top"/>
    </xf>
    <xf numFmtId="0" fontId="2" fillId="0" borderId="11" xfId="0" applyFont="1" applyBorder="1" applyAlignment="1">
      <alignment horizontal="left" vertical="top" wrapText="1"/>
    </xf>
    <xf numFmtId="0" fontId="3" fillId="0" borderId="18" xfId="0" applyFont="1" applyBorder="1" applyAlignment="1">
      <alignment vertical="top"/>
    </xf>
    <xf numFmtId="0" fontId="3" fillId="0" borderId="17" xfId="0" applyFont="1" applyBorder="1" applyAlignment="1">
      <alignment vertical="top"/>
    </xf>
    <xf numFmtId="0" fontId="2" fillId="0" borderId="17" xfId="0" applyFont="1" applyBorder="1" applyAlignment="1">
      <alignment vertical="top"/>
    </xf>
    <xf numFmtId="0" fontId="2" fillId="0" borderId="16" xfId="0" applyFont="1" applyBorder="1" applyAlignment="1">
      <alignment vertical="top"/>
    </xf>
    <xf numFmtId="0" fontId="2" fillId="0" borderId="11" xfId="0" applyFont="1" applyBorder="1" applyAlignment="1">
      <alignment vertical="top"/>
    </xf>
    <xf numFmtId="0" fontId="2" fillId="0" borderId="19" xfId="0" applyFont="1" applyBorder="1" applyAlignment="1">
      <alignment vertical="top"/>
    </xf>
    <xf numFmtId="0" fontId="15" fillId="0" borderId="0" xfId="3" applyFont="1" applyBorder="1" applyAlignment="1">
      <alignment vertical="top"/>
    </xf>
    <xf numFmtId="0" fontId="2" fillId="0" borderId="20" xfId="0" applyFont="1" applyBorder="1" applyAlignment="1">
      <alignment vertical="top"/>
    </xf>
    <xf numFmtId="0" fontId="2" fillId="0" borderId="1" xfId="0" applyFont="1" applyBorder="1" applyAlignment="1">
      <alignment vertical="top"/>
    </xf>
    <xf numFmtId="0" fontId="15" fillId="0" borderId="1" xfId="3" applyFont="1" applyBorder="1" applyAlignment="1">
      <alignment vertical="top"/>
    </xf>
    <xf numFmtId="0" fontId="2" fillId="0" borderId="21" xfId="0" applyFont="1" applyBorder="1" applyAlignment="1">
      <alignment vertical="top"/>
    </xf>
    <xf numFmtId="0" fontId="35" fillId="0" borderId="17" xfId="0" applyFont="1" applyBorder="1" applyAlignment="1">
      <alignment vertical="top"/>
    </xf>
    <xf numFmtId="0" fontId="35" fillId="0" borderId="0" xfId="0" applyFont="1" applyAlignment="1">
      <alignment vertical="top"/>
    </xf>
    <xf numFmtId="0" fontId="35" fillId="0" borderId="1" xfId="0" applyFont="1" applyBorder="1" applyAlignment="1">
      <alignment vertical="top"/>
    </xf>
    <xf numFmtId="0" fontId="2" fillId="0" borderId="0" xfId="0" quotePrefix="1" applyFont="1" applyAlignment="1">
      <alignment vertical="top"/>
    </xf>
    <xf numFmtId="0" fontId="2" fillId="0" borderId="1" xfId="0" quotePrefix="1" applyFont="1" applyBorder="1" applyAlignment="1">
      <alignment vertical="top"/>
    </xf>
    <xf numFmtId="0" fontId="2" fillId="0" borderId="0" xfId="0" quotePrefix="1" applyFont="1" applyAlignment="1">
      <alignment horizontal="right" vertical="top"/>
    </xf>
    <xf numFmtId="0" fontId="15" fillId="0" borderId="0" xfId="3" quotePrefix="1" applyFont="1" applyBorder="1" applyAlignment="1">
      <alignment vertical="top"/>
    </xf>
    <xf numFmtId="0" fontId="3" fillId="0" borderId="0" xfId="0" applyFont="1" applyAlignment="1">
      <alignment vertical="top"/>
    </xf>
    <xf numFmtId="0" fontId="2" fillId="0" borderId="11" xfId="0" quotePrefix="1" applyFont="1" applyBorder="1" applyAlignment="1">
      <alignment vertical="top"/>
    </xf>
    <xf numFmtId="0" fontId="2" fillId="0" borderId="20" xfId="0" quotePrefix="1" applyFont="1" applyBorder="1" applyAlignment="1">
      <alignment vertical="top"/>
    </xf>
    <xf numFmtId="0" fontId="2" fillId="0" borderId="1" xfId="0" quotePrefix="1" applyFont="1" applyBorder="1" applyAlignment="1">
      <alignment horizontal="right" vertical="top"/>
    </xf>
    <xf numFmtId="0" fontId="2" fillId="0" borderId="1" xfId="0" applyFont="1" applyBorder="1" applyAlignment="1">
      <alignment vertical="top" wrapText="1"/>
    </xf>
    <xf numFmtId="0" fontId="2" fillId="0" borderId="19" xfId="0" applyFont="1" applyBorder="1" applyAlignment="1">
      <alignment vertical="top" wrapText="1"/>
    </xf>
    <xf numFmtId="0" fontId="33" fillId="0" borderId="0" xfId="0" applyFont="1" applyAlignment="1">
      <alignment vertical="center"/>
    </xf>
    <xf numFmtId="0" fontId="36" fillId="0" borderId="0" xfId="0" applyFont="1" applyAlignment="1">
      <alignment vertical="center"/>
    </xf>
    <xf numFmtId="0" fontId="20" fillId="0" borderId="0" xfId="0" applyFont="1" applyAlignment="1">
      <alignment horizontal="left" vertical="center" wrapText="1"/>
    </xf>
    <xf numFmtId="0" fontId="17" fillId="0" borderId="0" xfId="0" applyFont="1" applyAlignment="1">
      <alignment horizontal="left" vertical="center" wrapText="1"/>
    </xf>
    <xf numFmtId="0" fontId="13" fillId="0" borderId="0" xfId="0" applyFont="1" applyAlignment="1">
      <alignment vertical="top" wrapText="1"/>
    </xf>
    <xf numFmtId="0" fontId="13" fillId="0" borderId="19" xfId="0" applyFont="1" applyBorder="1" applyAlignment="1">
      <alignment vertical="top" wrapText="1"/>
    </xf>
    <xf numFmtId="0" fontId="13" fillId="0" borderId="1" xfId="0" quotePrefix="1" applyFont="1" applyBorder="1" applyAlignment="1">
      <alignment horizontal="right" vertical="top" wrapText="1"/>
    </xf>
    <xf numFmtId="0" fontId="15" fillId="0" borderId="21" xfId="3" applyFont="1" applyFill="1" applyBorder="1" applyAlignment="1">
      <alignment vertical="top"/>
    </xf>
    <xf numFmtId="14" fontId="2" fillId="0" borderId="0" xfId="0" applyNumberFormat="1" applyFont="1" applyAlignment="1">
      <alignment horizontal="left"/>
    </xf>
    <xf numFmtId="0" fontId="16" fillId="6" borderId="86" xfId="0" applyFont="1" applyFill="1" applyBorder="1"/>
    <xf numFmtId="39" fontId="6" fillId="6" borderId="15" xfId="1" applyNumberFormat="1" applyFont="1" applyFill="1" applyBorder="1" applyAlignment="1" applyProtection="1">
      <alignment horizontal="right"/>
    </xf>
    <xf numFmtId="39" fontId="6" fillId="6" borderId="35" xfId="1" applyNumberFormat="1" applyFont="1" applyFill="1" applyBorder="1" applyAlignment="1" applyProtection="1">
      <alignment horizontal="right"/>
    </xf>
    <xf numFmtId="39" fontId="6" fillId="6" borderId="15" xfId="0" applyNumberFormat="1" applyFont="1" applyFill="1" applyBorder="1" applyAlignment="1">
      <alignment horizontal="right"/>
    </xf>
    <xf numFmtId="39" fontId="6" fillId="6" borderId="13" xfId="1" applyNumberFormat="1" applyFont="1" applyFill="1" applyBorder="1" applyAlignment="1" applyProtection="1">
      <alignment horizontal="right"/>
    </xf>
    <xf numFmtId="39" fontId="6" fillId="6" borderId="35" xfId="0" applyNumberFormat="1" applyFont="1" applyFill="1" applyBorder="1" applyAlignment="1">
      <alignment horizontal="right"/>
    </xf>
    <xf numFmtId="0" fontId="5" fillId="8" borderId="0" xfId="0" applyFont="1" applyFill="1" applyAlignment="1" applyProtection="1">
      <alignment horizontal="left"/>
      <protection locked="0"/>
    </xf>
    <xf numFmtId="14" fontId="5" fillId="8" borderId="0" xfId="0" applyNumberFormat="1" applyFont="1" applyFill="1" applyProtection="1">
      <protection locked="0"/>
    </xf>
    <xf numFmtId="9" fontId="5" fillId="8" borderId="0" xfId="2" applyFont="1" applyFill="1" applyBorder="1" applyAlignment="1" applyProtection="1">
      <alignment horizontal="left"/>
      <protection locked="0"/>
    </xf>
    <xf numFmtId="0" fontId="5" fillId="8" borderId="0" xfId="0" applyFont="1" applyFill="1" applyAlignment="1" applyProtection="1">
      <alignment horizontal="right"/>
      <protection locked="0"/>
    </xf>
    <xf numFmtId="39" fontId="4" fillId="8" borderId="6" xfId="1" applyNumberFormat="1" applyFont="1" applyFill="1" applyBorder="1" applyAlignment="1" applyProtection="1">
      <alignment horizontal="right"/>
      <protection locked="0"/>
    </xf>
    <xf numFmtId="39" fontId="4" fillId="8" borderId="31" xfId="1" applyNumberFormat="1" applyFont="1" applyFill="1" applyBorder="1" applyAlignment="1" applyProtection="1">
      <alignment horizontal="right"/>
      <protection locked="0"/>
    </xf>
    <xf numFmtId="39" fontId="4" fillId="8" borderId="6" xfId="0" applyNumberFormat="1" applyFont="1" applyFill="1" applyBorder="1" applyAlignment="1" applyProtection="1">
      <alignment horizontal="right"/>
      <protection locked="0"/>
    </xf>
    <xf numFmtId="39" fontId="4" fillId="8" borderId="31" xfId="0" applyNumberFormat="1" applyFont="1" applyFill="1" applyBorder="1" applyAlignment="1" applyProtection="1">
      <alignment horizontal="right"/>
      <protection locked="0"/>
    </xf>
    <xf numFmtId="39" fontId="4" fillId="8" borderId="10" xfId="1" applyNumberFormat="1" applyFont="1" applyFill="1" applyBorder="1" applyAlignment="1" applyProtection="1">
      <alignment horizontal="right"/>
      <protection locked="0"/>
    </xf>
    <xf numFmtId="164" fontId="4" fillId="8" borderId="0" xfId="0" applyNumberFormat="1" applyFont="1" applyFill="1" applyProtection="1">
      <protection locked="0"/>
    </xf>
    <xf numFmtId="164" fontId="4" fillId="8" borderId="0" xfId="2" applyNumberFormat="1" applyFont="1" applyFill="1" applyBorder="1" applyProtection="1">
      <protection locked="0"/>
    </xf>
    <xf numFmtId="170" fontId="4" fillId="8" borderId="0" xfId="0" applyNumberFormat="1" applyFont="1" applyFill="1" applyProtection="1">
      <protection locked="0"/>
    </xf>
    <xf numFmtId="164" fontId="4" fillId="8" borderId="41" xfId="2" applyNumberFormat="1" applyFont="1" applyFill="1" applyBorder="1" applyProtection="1">
      <protection locked="0"/>
    </xf>
    <xf numFmtId="0" fontId="5" fillId="0" borderId="0" xfId="0" applyFont="1" applyAlignment="1" applyProtection="1">
      <alignment horizontal="right"/>
      <protection locked="0"/>
    </xf>
    <xf numFmtId="0" fontId="2" fillId="8" borderId="11" xfId="0" applyFont="1" applyFill="1" applyBorder="1" applyAlignment="1" applyProtection="1">
      <alignment horizontal="left" vertical="top" wrapText="1"/>
      <protection locked="0"/>
    </xf>
    <xf numFmtId="0" fontId="2" fillId="8" borderId="0" xfId="0" applyFont="1" applyFill="1" applyAlignment="1" applyProtection="1">
      <alignment horizontal="left" vertical="top" wrapText="1"/>
      <protection locked="0"/>
    </xf>
    <xf numFmtId="0" fontId="2" fillId="8" borderId="19" xfId="0" applyFont="1" applyFill="1" applyBorder="1" applyAlignment="1" applyProtection="1">
      <alignment horizontal="left" vertical="top" wrapText="1"/>
      <protection locked="0"/>
    </xf>
    <xf numFmtId="0" fontId="2" fillId="8" borderId="0" xfId="0" applyFont="1" applyFill="1" applyAlignment="1">
      <alignment horizontal="center"/>
    </xf>
    <xf numFmtId="0" fontId="26" fillId="8" borderId="0" xfId="0" applyFont="1" applyFill="1" applyAlignment="1">
      <alignment horizontal="center"/>
    </xf>
    <xf numFmtId="14" fontId="2" fillId="8" borderId="0" xfId="0" applyNumberFormat="1" applyFont="1" applyFill="1" applyAlignment="1">
      <alignment horizontal="left"/>
    </xf>
    <xf numFmtId="37" fontId="2" fillId="8" borderId="0" xfId="1" applyNumberFormat="1" applyFont="1" applyFill="1"/>
    <xf numFmtId="3" fontId="2" fillId="8" borderId="0" xfId="1" applyNumberFormat="1" applyFont="1" applyFill="1"/>
    <xf numFmtId="38" fontId="2" fillId="8" borderId="0" xfId="1" applyNumberFormat="1" applyFont="1" applyFill="1"/>
    <xf numFmtId="40" fontId="2" fillId="8" borderId="0" xfId="1" applyFont="1" applyFill="1"/>
    <xf numFmtId="0" fontId="38" fillId="0" borderId="0" xfId="3" applyFont="1" applyFill="1" applyAlignment="1">
      <alignment vertical="top"/>
    </xf>
    <xf numFmtId="0" fontId="12" fillId="0" borderId="0" xfId="0" applyFont="1" applyAlignment="1">
      <alignment vertical="top"/>
    </xf>
    <xf numFmtId="0" fontId="12" fillId="0" borderId="19" xfId="0" applyFont="1" applyBorder="1" applyAlignment="1">
      <alignment vertical="top"/>
    </xf>
    <xf numFmtId="39" fontId="6" fillId="6" borderId="40" xfId="0" applyNumberFormat="1" applyFont="1" applyFill="1" applyBorder="1" applyAlignment="1">
      <alignment horizontal="right"/>
    </xf>
    <xf numFmtId="0" fontId="4" fillId="0" borderId="0" xfId="0" applyFont="1" applyAlignment="1">
      <alignment vertical="center"/>
    </xf>
    <xf numFmtId="39" fontId="4" fillId="0" borderId="15" xfId="1" applyNumberFormat="1" applyFont="1" applyFill="1" applyBorder="1" applyAlignment="1" applyProtection="1">
      <alignment horizontal="right"/>
      <protection locked="0"/>
    </xf>
    <xf numFmtId="39" fontId="4" fillId="0" borderId="35" xfId="1" applyNumberFormat="1" applyFont="1" applyFill="1" applyBorder="1" applyAlignment="1" applyProtection="1">
      <alignment horizontal="right"/>
      <protection locked="0"/>
    </xf>
    <xf numFmtId="39" fontId="4" fillId="0" borderId="34" xfId="1" applyNumberFormat="1" applyFont="1" applyFill="1" applyBorder="1" applyAlignment="1" applyProtection="1">
      <alignment horizontal="right"/>
      <protection locked="0"/>
    </xf>
    <xf numFmtId="0" fontId="13" fillId="0" borderId="0" xfId="0" applyFont="1" applyAlignment="1">
      <alignment horizontal="left" vertical="top" wrapText="1"/>
    </xf>
    <xf numFmtId="0" fontId="13" fillId="0" borderId="1" xfId="0" applyFont="1" applyBorder="1" applyAlignment="1">
      <alignment horizontal="left" vertical="top" wrapText="1"/>
    </xf>
    <xf numFmtId="0" fontId="2" fillId="0" borderId="0" xfId="0" applyFont="1" applyAlignment="1">
      <alignment horizontal="left" vertical="top" wrapText="1"/>
    </xf>
    <xf numFmtId="0" fontId="2" fillId="0" borderId="19" xfId="0" applyFont="1" applyBorder="1" applyAlignment="1">
      <alignment horizontal="left" vertical="top" wrapText="1"/>
    </xf>
    <xf numFmtId="0" fontId="15" fillId="0" borderId="0" xfId="3" applyFont="1" applyFill="1" applyAlignment="1">
      <alignment horizontal="left" vertical="top"/>
    </xf>
    <xf numFmtId="0" fontId="5" fillId="8" borderId="0" xfId="0" applyFont="1" applyFill="1" applyAlignment="1" applyProtection="1">
      <alignment horizontal="left"/>
      <protection locked="0"/>
    </xf>
    <xf numFmtId="0" fontId="17" fillId="0" borderId="74" xfId="0" applyFont="1" applyBorder="1" applyAlignment="1">
      <alignment horizontal="left" vertical="center" wrapText="1"/>
    </xf>
    <xf numFmtId="0" fontId="17" fillId="0" borderId="0" xfId="0" applyFont="1" applyAlignment="1">
      <alignment horizontal="left" vertical="center" wrapText="1"/>
    </xf>
    <xf numFmtId="0" fontId="17" fillId="0" borderId="75" xfId="0" applyFont="1" applyBorder="1" applyAlignment="1">
      <alignment horizontal="left" vertical="center" wrapText="1"/>
    </xf>
    <xf numFmtId="0" fontId="14" fillId="0" borderId="71" xfId="0" applyFont="1" applyBorder="1" applyAlignment="1">
      <alignment horizontal="left"/>
    </xf>
    <xf numFmtId="0" fontId="14" fillId="0" borderId="72" xfId="0" applyFont="1" applyBorder="1" applyAlignment="1">
      <alignment horizontal="left"/>
    </xf>
    <xf numFmtId="0" fontId="14" fillId="0" borderId="73" xfId="0" applyFont="1" applyBorder="1" applyAlignment="1">
      <alignment horizontal="left"/>
    </xf>
    <xf numFmtId="40" fontId="20" fillId="0" borderId="72" xfId="1" applyFont="1" applyFill="1" applyBorder="1" applyAlignment="1" applyProtection="1">
      <alignment horizontal="left" vertical="center" wrapText="1"/>
    </xf>
    <xf numFmtId="40" fontId="20" fillId="0" borderId="0" xfId="1" applyFont="1" applyFill="1" applyBorder="1" applyAlignment="1" applyProtection="1">
      <alignment horizontal="left" vertical="center" wrapText="1"/>
    </xf>
    <xf numFmtId="0" fontId="20" fillId="0" borderId="74" xfId="0" applyFont="1" applyBorder="1" applyAlignment="1">
      <alignment horizontal="left" vertical="center" wrapText="1"/>
    </xf>
    <xf numFmtId="0" fontId="20" fillId="0" borderId="0" xfId="0" applyFont="1" applyAlignment="1">
      <alignment horizontal="left" vertical="center" wrapText="1"/>
    </xf>
    <xf numFmtId="0" fontId="20" fillId="0" borderId="75" xfId="0" applyFont="1" applyBorder="1" applyAlignment="1">
      <alignment horizontal="left" vertical="center" wrapText="1"/>
    </xf>
    <xf numFmtId="0" fontId="3" fillId="0" borderId="0" xfId="0" applyFont="1" applyAlignment="1">
      <alignment horizontal="left"/>
    </xf>
    <xf numFmtId="0" fontId="6" fillId="0" borderId="0" xfId="0" applyFont="1" applyAlignment="1">
      <alignment horizontal="left"/>
    </xf>
    <xf numFmtId="40" fontId="3" fillId="0" borderId="0" xfId="1" applyFont="1" applyAlignment="1" applyProtection="1">
      <alignment horizontal="left" wrapText="1"/>
    </xf>
    <xf numFmtId="40" fontId="3" fillId="0" borderId="0" xfId="1" applyFont="1" applyAlignment="1" applyProtection="1">
      <alignment horizontal="left"/>
    </xf>
    <xf numFmtId="40" fontId="6" fillId="0" borderId="0" xfId="1" applyFont="1" applyAlignment="1" applyProtection="1">
      <alignment horizontal="left"/>
    </xf>
    <xf numFmtId="0" fontId="4" fillId="0" borderId="69" xfId="0" applyFont="1" applyBorder="1" applyAlignment="1">
      <alignment horizontal="left" wrapText="1"/>
    </xf>
    <xf numFmtId="0" fontId="4" fillId="0" borderId="41" xfId="0" applyFont="1" applyBorder="1" applyAlignment="1">
      <alignment horizontal="left" wrapText="1"/>
    </xf>
    <xf numFmtId="9" fontId="5" fillId="8" borderId="0" xfId="2" applyFont="1" applyFill="1" applyBorder="1" applyAlignment="1" applyProtection="1">
      <alignment horizontal="left"/>
      <protection locked="0"/>
    </xf>
    <xf numFmtId="173" fontId="19" fillId="0" borderId="0" xfId="0" applyNumberFormat="1" applyFont="1" applyAlignment="1">
      <alignment horizontal="center"/>
    </xf>
    <xf numFmtId="0" fontId="6" fillId="8" borderId="0" xfId="0" applyFont="1" applyFill="1" applyAlignment="1" applyProtection="1">
      <alignment horizontal="left"/>
      <protection locked="0"/>
    </xf>
    <xf numFmtId="0" fontId="6" fillId="8" borderId="0" xfId="0" applyFont="1" applyFill="1" applyAlignment="1">
      <alignment horizontal="left"/>
    </xf>
    <xf numFmtId="172" fontId="7" fillId="3" borderId="0" xfId="0" applyNumberFormat="1" applyFont="1" applyFill="1" applyAlignment="1">
      <alignment horizontal="left"/>
    </xf>
    <xf numFmtId="14" fontId="5" fillId="8" borderId="0" xfId="0" applyNumberFormat="1" applyFont="1" applyFill="1" applyAlignment="1" applyProtection="1">
      <alignment horizontal="left"/>
      <protection locked="0"/>
    </xf>
    <xf numFmtId="40" fontId="4" fillId="8" borderId="28" xfId="1" applyFont="1" applyFill="1" applyBorder="1" applyAlignment="1" applyProtection="1">
      <alignment horizontal="left" wrapText="1"/>
      <protection locked="0"/>
    </xf>
    <xf numFmtId="40" fontId="4" fillId="8" borderId="44" xfId="1" applyFont="1" applyFill="1" applyBorder="1" applyAlignment="1" applyProtection="1">
      <alignment horizontal="left" wrapText="1"/>
      <protection locked="0"/>
    </xf>
    <xf numFmtId="0" fontId="24" fillId="0" borderId="0" xfId="3" applyFont="1" applyFill="1" applyAlignment="1">
      <alignment horizontal="center" vertical="center" wrapText="1"/>
    </xf>
    <xf numFmtId="4" fontId="4" fillId="8" borderId="42" xfId="0" applyNumberFormat="1" applyFont="1" applyFill="1" applyBorder="1" applyAlignment="1" applyProtection="1">
      <alignment horizontal="left" wrapText="1"/>
      <protection locked="0"/>
    </xf>
    <xf numFmtId="4" fontId="4" fillId="8" borderId="45" xfId="0" applyNumberFormat="1" applyFont="1" applyFill="1" applyBorder="1" applyAlignment="1" applyProtection="1">
      <alignment horizontal="left" wrapText="1"/>
      <protection locked="0"/>
    </xf>
    <xf numFmtId="4" fontId="4" fillId="8" borderId="28" xfId="0" applyNumberFormat="1" applyFont="1" applyFill="1" applyBorder="1" applyAlignment="1" applyProtection="1">
      <alignment horizontal="left" wrapText="1"/>
      <protection locked="0"/>
    </xf>
    <xf numFmtId="4" fontId="4" fillId="8" borderId="44" xfId="0" applyNumberFormat="1" applyFont="1" applyFill="1" applyBorder="1" applyAlignment="1" applyProtection="1">
      <alignment horizontal="left" wrapText="1"/>
      <protection locked="0"/>
    </xf>
    <xf numFmtId="39" fontId="4" fillId="0" borderId="13" xfId="0" applyNumberFormat="1" applyFont="1" applyBorder="1" applyAlignment="1">
      <alignment horizontal="right" wrapText="1"/>
    </xf>
    <xf numFmtId="39" fontId="4" fillId="0" borderId="50" xfId="0" applyNumberFormat="1" applyFont="1" applyBorder="1" applyAlignment="1">
      <alignment horizontal="right" wrapText="1"/>
    </xf>
    <xf numFmtId="39" fontId="4" fillId="0" borderId="4" xfId="0" applyNumberFormat="1" applyFont="1" applyBorder="1" applyAlignment="1">
      <alignment horizontal="right" wrapText="1"/>
    </xf>
    <xf numFmtId="39" fontId="4" fillId="0" borderId="49" xfId="0" applyNumberFormat="1" applyFont="1" applyBorder="1" applyAlignment="1">
      <alignment horizontal="right" wrapText="1"/>
    </xf>
    <xf numFmtId="39" fontId="6" fillId="0" borderId="52" xfId="0" applyNumberFormat="1" applyFont="1" applyBorder="1" applyAlignment="1">
      <alignment horizontal="right" vertical="center" wrapText="1"/>
    </xf>
    <xf numFmtId="39" fontId="6" fillId="0" borderId="53" xfId="0" applyNumberFormat="1" applyFont="1" applyBorder="1" applyAlignment="1">
      <alignment horizontal="right" vertical="center" wrapText="1"/>
    </xf>
    <xf numFmtId="0" fontId="3" fillId="5" borderId="0" xfId="3" applyFont="1" applyFill="1" applyAlignment="1">
      <alignment horizontal="left" vertical="top" wrapText="1"/>
    </xf>
    <xf numFmtId="0" fontId="4" fillId="8" borderId="0" xfId="0" applyFont="1" applyFill="1" applyAlignment="1" applyProtection="1">
      <alignment horizontal="left"/>
      <protection locked="0"/>
    </xf>
    <xf numFmtId="0" fontId="4" fillId="8" borderId="19" xfId="0" applyFont="1" applyFill="1" applyBorder="1" applyAlignment="1" applyProtection="1">
      <alignment horizontal="left"/>
      <protection locked="0"/>
    </xf>
    <xf numFmtId="14" fontId="4" fillId="2" borderId="17" xfId="0" applyNumberFormat="1" applyFont="1" applyFill="1" applyBorder="1" applyAlignment="1" applyProtection="1">
      <alignment horizontal="left"/>
      <protection locked="0"/>
    </xf>
    <xf numFmtId="14" fontId="4" fillId="2" borderId="16" xfId="0" applyNumberFormat="1" applyFont="1" applyFill="1" applyBorder="1" applyAlignment="1" applyProtection="1">
      <alignment horizontal="left"/>
      <protection locked="0"/>
    </xf>
    <xf numFmtId="0" fontId="4" fillId="8" borderId="11" xfId="0" applyFont="1" applyFill="1" applyBorder="1" applyAlignment="1" applyProtection="1">
      <alignment horizontal="left"/>
      <protection locked="0"/>
    </xf>
    <xf numFmtId="0" fontId="11" fillId="5" borderId="0" xfId="0" applyFont="1" applyFill="1" applyAlignment="1">
      <alignment horizontal="left" wrapText="1"/>
    </xf>
    <xf numFmtId="0" fontId="4" fillId="2" borderId="0" xfId="0" applyFont="1" applyFill="1" applyAlignment="1" applyProtection="1">
      <alignment horizontal="left"/>
      <protection locked="0"/>
    </xf>
    <xf numFmtId="0" fontId="2" fillId="4" borderId="26" xfId="0" quotePrefix="1" applyFont="1" applyFill="1" applyBorder="1" applyAlignment="1">
      <alignment horizontal="left" wrapText="1"/>
    </xf>
    <xf numFmtId="0" fontId="24" fillId="0" borderId="0" xfId="3" applyFont="1" applyAlignment="1">
      <alignment horizontal="center" vertical="center"/>
    </xf>
    <xf numFmtId="40" fontId="4" fillId="0" borderId="4" xfId="1" applyFont="1" applyBorder="1" applyAlignment="1">
      <alignment horizontal="left"/>
    </xf>
    <xf numFmtId="40" fontId="4" fillId="0" borderId="57" xfId="1" applyFont="1" applyBorder="1" applyAlignment="1">
      <alignment horizontal="left"/>
    </xf>
    <xf numFmtId="0" fontId="4" fillId="8" borderId="20" xfId="0" applyFont="1" applyFill="1" applyBorder="1" applyAlignment="1" applyProtection="1">
      <alignment horizontal="left"/>
      <protection locked="0"/>
    </xf>
    <xf numFmtId="0" fontId="4" fillId="8" borderId="1" xfId="0" applyFont="1" applyFill="1" applyBorder="1" applyAlignment="1" applyProtection="1">
      <alignment horizontal="left"/>
      <protection locked="0"/>
    </xf>
    <xf numFmtId="0" fontId="4" fillId="8" borderId="21" xfId="0" applyFont="1" applyFill="1" applyBorder="1" applyAlignment="1" applyProtection="1">
      <alignment horizontal="left"/>
      <protection locked="0"/>
    </xf>
    <xf numFmtId="0" fontId="4" fillId="0" borderId="17" xfId="0" applyFont="1" applyBorder="1" applyAlignment="1">
      <alignment horizontal="center"/>
    </xf>
    <xf numFmtId="0" fontId="4" fillId="0" borderId="7" xfId="0" applyFont="1" applyBorder="1" applyAlignment="1">
      <alignment horizontal="left" wrapText="1"/>
    </xf>
    <xf numFmtId="0" fontId="6" fillId="0" borderId="16" xfId="0" applyFont="1" applyBorder="1" applyAlignment="1">
      <alignment horizontal="left" wrapText="1"/>
    </xf>
    <xf numFmtId="0" fontId="6" fillId="0" borderId="3" xfId="0" applyFont="1" applyBorder="1" applyAlignment="1">
      <alignment horizontal="left" wrapText="1"/>
    </xf>
    <xf numFmtId="0" fontId="6" fillId="0" borderId="19" xfId="0" applyFont="1" applyBorder="1" applyAlignment="1">
      <alignment horizontal="left" wrapText="1"/>
    </xf>
    <xf numFmtId="0" fontId="6" fillId="0" borderId="4" xfId="0" applyFont="1" applyBorder="1" applyAlignment="1">
      <alignment horizontal="left" wrapText="1"/>
    </xf>
    <xf numFmtId="0" fontId="6" fillId="0" borderId="49" xfId="0" applyFont="1" applyBorder="1" applyAlignment="1">
      <alignment horizontal="left" wrapText="1"/>
    </xf>
    <xf numFmtId="169" fontId="6" fillId="0" borderId="1" xfId="0" applyNumberFormat="1" applyFont="1" applyBorder="1" applyAlignment="1">
      <alignment horizontal="left"/>
    </xf>
    <xf numFmtId="0" fontId="2" fillId="8" borderId="20" xfId="0" applyFont="1" applyFill="1" applyBorder="1" applyAlignment="1" applyProtection="1">
      <alignment horizontal="left" vertical="top" wrapText="1"/>
      <protection locked="0"/>
    </xf>
    <xf numFmtId="0" fontId="2" fillId="8" borderId="1" xfId="0" applyFont="1" applyFill="1" applyBorder="1" applyAlignment="1" applyProtection="1">
      <alignment horizontal="left" vertical="top" wrapText="1"/>
      <protection locked="0"/>
    </xf>
    <xf numFmtId="0" fontId="2" fillId="8" borderId="21" xfId="0" applyFont="1" applyFill="1" applyBorder="1" applyAlignment="1" applyProtection="1">
      <alignment horizontal="left" vertical="top" wrapText="1"/>
      <protection locked="0"/>
    </xf>
    <xf numFmtId="0" fontId="4" fillId="0" borderId="0" xfId="0" applyFont="1" applyAlignment="1">
      <alignment horizontal="left" vertical="top" wrapText="1"/>
    </xf>
    <xf numFmtId="0" fontId="6" fillId="8" borderId="20" xfId="0" applyFont="1" applyFill="1" applyBorder="1" applyAlignment="1" applyProtection="1">
      <alignment horizontal="left"/>
      <protection locked="0"/>
    </xf>
    <xf numFmtId="0" fontId="6" fillId="8" borderId="1" xfId="0" applyFont="1" applyFill="1" applyBorder="1" applyAlignment="1" applyProtection="1">
      <alignment horizontal="left"/>
      <protection locked="0"/>
    </xf>
    <xf numFmtId="0" fontId="6" fillId="8" borderId="21" xfId="0" applyFont="1" applyFill="1" applyBorder="1" applyAlignment="1" applyProtection="1">
      <alignment horizontal="left"/>
      <protection locked="0"/>
    </xf>
    <xf numFmtId="0" fontId="2" fillId="8" borderId="11" xfId="0" applyFont="1" applyFill="1" applyBorder="1" applyAlignment="1" applyProtection="1">
      <alignment horizontal="left" vertical="top" wrapText="1"/>
      <protection locked="0"/>
    </xf>
    <xf numFmtId="0" fontId="2" fillId="8" borderId="0" xfId="0" applyFont="1" applyFill="1" applyAlignment="1" applyProtection="1">
      <alignment horizontal="left" vertical="top" wrapText="1"/>
      <protection locked="0"/>
    </xf>
    <xf numFmtId="0" fontId="2" fillId="8" borderId="19" xfId="0" applyFont="1" applyFill="1" applyBorder="1" applyAlignment="1" applyProtection="1">
      <alignment horizontal="left" vertical="top" wrapText="1"/>
      <protection locked="0"/>
    </xf>
    <xf numFmtId="0" fontId="21" fillId="0" borderId="7" xfId="0" applyFont="1" applyBorder="1" applyAlignment="1">
      <alignment horizontal="left" vertical="center"/>
    </xf>
    <xf numFmtId="0" fontId="21" fillId="0" borderId="17" xfId="0" applyFont="1" applyBorder="1" applyAlignment="1">
      <alignment horizontal="left" vertical="center"/>
    </xf>
    <xf numFmtId="0" fontId="21" fillId="0" borderId="28" xfId="0" applyFont="1" applyBorder="1" applyAlignment="1">
      <alignment horizontal="left" vertical="center" wrapText="1"/>
    </xf>
    <xf numFmtId="0" fontId="21" fillId="0" borderId="2" xfId="0" applyFont="1" applyBorder="1" applyAlignment="1">
      <alignment horizontal="left" vertical="center" wrapText="1"/>
    </xf>
    <xf numFmtId="0" fontId="21" fillId="0" borderId="5" xfId="0" applyFont="1" applyBorder="1" applyAlignment="1">
      <alignment horizontal="left" vertical="center" wrapText="1"/>
    </xf>
    <xf numFmtId="0" fontId="21" fillId="0" borderId="16" xfId="0" applyFont="1" applyBorder="1" applyAlignment="1">
      <alignment horizontal="left" vertical="center" wrapText="1"/>
    </xf>
    <xf numFmtId="0" fontId="21" fillId="0" borderId="19" xfId="0" applyFont="1" applyBorder="1" applyAlignment="1">
      <alignment horizontal="left" vertical="center" wrapText="1"/>
    </xf>
    <xf numFmtId="0" fontId="21" fillId="0" borderId="49" xfId="0" applyFont="1" applyBorder="1" applyAlignment="1">
      <alignment horizontal="left" vertical="center" wrapText="1"/>
    </xf>
    <xf numFmtId="175" fontId="2" fillId="0" borderId="0" xfId="0" applyNumberFormat="1" applyFont="1" applyAlignment="1">
      <alignment horizontal="left"/>
    </xf>
    <xf numFmtId="0" fontId="22" fillId="0" borderId="7" xfId="0" applyFont="1" applyBorder="1" applyAlignment="1">
      <alignment horizontal="left" vertical="center" wrapText="1"/>
    </xf>
    <xf numFmtId="0" fontId="22" fillId="0" borderId="3" xfId="0" applyFont="1" applyBorder="1" applyAlignment="1">
      <alignment horizontal="left" vertical="center" wrapText="1"/>
    </xf>
    <xf numFmtId="0" fontId="22" fillId="0" borderId="4" xfId="0" applyFont="1" applyBorder="1" applyAlignment="1">
      <alignment horizontal="left" vertical="center" wrapText="1"/>
    </xf>
    <xf numFmtId="0" fontId="21" fillId="0" borderId="7"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40" fontId="2" fillId="2" borderId="60" xfId="1" applyFont="1" applyFill="1" applyBorder="1" applyAlignment="1" applyProtection="1">
      <alignment horizontal="right"/>
      <protection locked="0"/>
    </xf>
    <xf numFmtId="40" fontId="2" fillId="2" borderId="58" xfId="1" applyFont="1" applyFill="1" applyBorder="1" applyAlignment="1" applyProtection="1">
      <alignment horizontal="right"/>
      <protection locked="0"/>
    </xf>
    <xf numFmtId="0" fontId="2" fillId="2" borderId="1" xfId="0" applyFont="1" applyFill="1" applyBorder="1" applyAlignment="1" applyProtection="1">
      <alignment horizontal="left"/>
      <protection locked="0"/>
    </xf>
    <xf numFmtId="0" fontId="2" fillId="2" borderId="11" xfId="0" applyFont="1" applyFill="1" applyBorder="1" applyAlignment="1" applyProtection="1">
      <alignment horizontal="left" vertical="top" wrapText="1"/>
      <protection locked="0"/>
    </xf>
    <xf numFmtId="0" fontId="2" fillId="2" borderId="0" xfId="0" applyFont="1" applyFill="1" applyAlignment="1" applyProtection="1">
      <alignment horizontal="left" vertical="top" wrapText="1"/>
      <protection locked="0"/>
    </xf>
    <xf numFmtId="0" fontId="2" fillId="2" borderId="19" xfId="0" applyFont="1" applyFill="1" applyBorder="1" applyAlignment="1" applyProtection="1">
      <alignment horizontal="left" vertical="top" wrapText="1"/>
      <protection locked="0"/>
    </xf>
    <xf numFmtId="0" fontId="2" fillId="2" borderId="20" xfId="0" applyFont="1" applyFill="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2" borderId="21" xfId="0" applyFont="1" applyFill="1" applyBorder="1" applyAlignment="1" applyProtection="1">
      <alignment horizontal="left" vertical="top" wrapText="1"/>
      <protection locked="0"/>
    </xf>
    <xf numFmtId="0" fontId="2" fillId="2" borderId="60" xfId="0" applyFont="1" applyFill="1" applyBorder="1" applyAlignment="1" applyProtection="1">
      <alignment horizontal="left"/>
      <protection locked="0"/>
    </xf>
    <xf numFmtId="0" fontId="4" fillId="0" borderId="0" xfId="0" applyFont="1" applyAlignment="1">
      <alignment horizontal="left"/>
    </xf>
    <xf numFmtId="0" fontId="13" fillId="4" borderId="26" xfId="0" applyFont="1" applyFill="1" applyBorder="1" applyAlignment="1">
      <alignment horizontal="left" wrapText="1"/>
    </xf>
    <xf numFmtId="0" fontId="3" fillId="5" borderId="0" xfId="3" applyFont="1" applyFill="1" applyAlignment="1">
      <alignment horizontal="left" wrapText="1"/>
    </xf>
    <xf numFmtId="14" fontId="4" fillId="8" borderId="17" xfId="0" applyNumberFormat="1" applyFont="1" applyFill="1" applyBorder="1" applyAlignment="1" applyProtection="1">
      <alignment horizontal="left"/>
      <protection locked="0"/>
    </xf>
    <xf numFmtId="14" fontId="4" fillId="8" borderId="16" xfId="0" applyNumberFormat="1" applyFont="1" applyFill="1" applyBorder="1" applyAlignment="1" applyProtection="1">
      <alignment horizontal="left"/>
      <protection locked="0"/>
    </xf>
    <xf numFmtId="0" fontId="4" fillId="8" borderId="0" xfId="0" applyFont="1" applyFill="1" applyAlignment="1" applyProtection="1">
      <alignment horizontal="center"/>
      <protection locked="0"/>
    </xf>
    <xf numFmtId="0" fontId="4" fillId="8" borderId="19" xfId="0" applyFont="1" applyFill="1" applyBorder="1" applyAlignment="1" applyProtection="1">
      <alignment horizontal="center"/>
      <protection locked="0"/>
    </xf>
    <xf numFmtId="14" fontId="2" fillId="8" borderId="0" xfId="0" applyNumberFormat="1" applyFont="1" applyFill="1" applyAlignment="1">
      <alignment horizontal="left"/>
    </xf>
    <xf numFmtId="0" fontId="2" fillId="8" borderId="0" xfId="0" applyFont="1" applyFill="1" applyAlignment="1">
      <alignment horizontal="left"/>
    </xf>
    <xf numFmtId="169" fontId="2" fillId="8" borderId="0" xfId="0" applyNumberFormat="1" applyFont="1" applyFill="1" applyAlignment="1">
      <alignment horizontal="left"/>
    </xf>
    <xf numFmtId="0" fontId="26" fillId="8" borderId="0" xfId="0" applyFont="1" applyFill="1" applyAlignment="1">
      <alignment horizontal="left"/>
    </xf>
    <xf numFmtId="0" fontId="25" fillId="8" borderId="0" xfId="0" applyFont="1" applyFill="1" applyAlignment="1">
      <alignment horizontal="left"/>
    </xf>
    <xf numFmtId="0" fontId="28" fillId="0" borderId="0" xfId="0" applyFont="1" applyAlignment="1">
      <alignment horizontal="left" vertical="top" wrapText="1"/>
    </xf>
    <xf numFmtId="0" fontId="28" fillId="0" borderId="0" xfId="0" applyFont="1" applyAlignment="1">
      <alignment horizontal="left" wrapText="1"/>
    </xf>
    <xf numFmtId="178" fontId="27" fillId="0" borderId="0" xfId="0" applyNumberFormat="1" applyFont="1" applyAlignment="1">
      <alignment horizontal="right"/>
    </xf>
    <xf numFmtId="0" fontId="27" fillId="0" borderId="0" xfId="0" applyFont="1" applyAlignment="1">
      <alignment horizontal="right"/>
    </xf>
    <xf numFmtId="0" fontId="25" fillId="0" borderId="0" xfId="0" applyFont="1" applyAlignment="1">
      <alignment horizontal="left" vertical="top" wrapText="1"/>
    </xf>
    <xf numFmtId="0" fontId="2" fillId="8" borderId="0" xfId="0" applyFont="1" applyFill="1" applyAlignment="1" applyProtection="1">
      <alignment horizontal="left"/>
      <protection locked="0"/>
    </xf>
    <xf numFmtId="9" fontId="2" fillId="8" borderId="0" xfId="2" applyFont="1" applyFill="1" applyAlignment="1">
      <alignment horizontal="left"/>
    </xf>
    <xf numFmtId="0" fontId="2" fillId="8" borderId="0" xfId="0" applyFont="1" applyFill="1" applyAlignment="1">
      <alignment horizontal="left" vertical="top" wrapText="1"/>
    </xf>
  </cellXfs>
  <cellStyles count="5">
    <cellStyle name="Komma" xfId="1" builtinId="3"/>
    <cellStyle name="Link" xfId="3" builtinId="8"/>
    <cellStyle name="PrintWhite" xfId="4" xr:uid="{00000000-0005-0000-0000-000002000000}"/>
    <cellStyle name="Prozent" xfId="2" builtinId="5"/>
    <cellStyle name="Standard" xfId="0" builtinId="0"/>
  </cellStyles>
  <dxfs count="638">
    <dxf>
      <font>
        <b/>
        <i val="0"/>
        <color rgb="FFFF0000"/>
      </font>
      <fill>
        <patternFill>
          <bgColor rgb="FFFFFF0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ill>
        <patternFill>
          <bgColor rgb="FFFFFF00"/>
        </patternFill>
      </fill>
    </dxf>
    <dxf>
      <fill>
        <patternFill patternType="none">
          <bgColor auto="1"/>
        </patternFill>
      </fill>
    </dxf>
    <dxf>
      <font>
        <b/>
        <i/>
        <color rgb="FFFF0000"/>
      </font>
      <fill>
        <patternFill>
          <bgColor rgb="FFFFFF00"/>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ont>
        <b/>
        <i/>
      </font>
      <fill>
        <patternFill>
          <bgColor rgb="FFFFFF00"/>
        </patternFill>
      </fill>
    </dxf>
    <dxf>
      <fill>
        <patternFill>
          <bgColor rgb="FFFFFF00"/>
        </patternFill>
      </fill>
    </dxf>
    <dxf>
      <font>
        <b/>
        <i/>
        <color rgb="FFFF0000"/>
      </font>
      <fill>
        <patternFill>
          <bgColor rgb="FFFFFF00"/>
        </patternFill>
      </fill>
    </dxf>
    <dxf>
      <fill>
        <patternFill patternType="none">
          <bgColor auto="1"/>
        </patternFill>
      </fill>
    </dxf>
    <dxf>
      <font>
        <b/>
        <i/>
        <color rgb="FFFF0000"/>
      </font>
      <fill>
        <patternFill>
          <bgColor rgb="FFFFFF00"/>
        </patternFill>
      </fill>
    </dxf>
    <dxf>
      <font>
        <color auto="1"/>
      </font>
      <fill>
        <patternFill>
          <bgColor theme="0" tint="-4.9989318521683403E-2"/>
        </patternFill>
      </fill>
    </dxf>
    <dxf>
      <fill>
        <patternFill>
          <bgColor theme="0" tint="-4.9989318521683403E-2"/>
        </patternFill>
      </fill>
    </dxf>
    <dxf>
      <font>
        <b/>
        <i val="0"/>
        <color rgb="FFFF0000"/>
      </font>
      <fill>
        <patternFill>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fill>
        <patternFill>
          <bgColor rgb="FFFFFF99"/>
        </patternFill>
      </fill>
    </dxf>
    <dxf>
      <fill>
        <patternFill>
          <bgColor rgb="FFFFFF99"/>
        </patternFill>
      </fill>
    </dxf>
    <dxf>
      <font>
        <b val="0"/>
        <i val="0"/>
        <color auto="1"/>
      </font>
      <fill>
        <patternFill>
          <bgColor rgb="FFFFFF99"/>
        </patternFill>
      </fill>
    </dxf>
    <dxf>
      <fill>
        <patternFill>
          <fgColor rgb="FFFFFF99"/>
          <bgColor rgb="FFFFFF99"/>
        </patternFill>
      </fill>
    </dxf>
    <dxf>
      <fill>
        <patternFill>
          <bgColor rgb="FFFFFF00"/>
        </patternFill>
      </fill>
    </dxf>
    <dxf>
      <fill>
        <patternFill>
          <bgColor theme="0" tint="-4.9989318521683403E-2"/>
        </patternFill>
      </fill>
    </dxf>
    <dxf>
      <font>
        <b/>
        <i val="0"/>
        <color rgb="FFFF0000"/>
      </font>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4.9989318521683403E-2"/>
        </patternFill>
      </fill>
    </dxf>
    <dxf>
      <font>
        <b val="0"/>
        <i val="0"/>
        <color auto="1"/>
      </font>
      <fill>
        <patternFill>
          <bgColor rgb="FFFFFF99"/>
        </patternFill>
      </fill>
    </dxf>
    <dxf>
      <fill>
        <patternFill>
          <bgColor rgb="FFFFFF99"/>
        </patternFill>
      </fill>
    </dxf>
    <dxf>
      <font>
        <b val="0"/>
        <i val="0"/>
      </font>
      <fill>
        <patternFill>
          <bgColor rgb="FFFFFF99"/>
        </patternFill>
      </fill>
    </dxf>
    <dxf>
      <font>
        <b val="0"/>
        <i val="0"/>
        <color auto="1"/>
      </font>
      <fill>
        <patternFill>
          <bgColor rgb="FFFFFF99"/>
        </patternFill>
      </fill>
    </dxf>
    <dxf>
      <fill>
        <patternFill>
          <bgColor rgb="FFFFFF99"/>
        </patternFill>
      </fill>
    </dxf>
    <dxf>
      <font>
        <b val="0"/>
        <i val="0"/>
      </font>
      <fill>
        <patternFill>
          <bgColor rgb="FFFFFF99"/>
        </patternFill>
      </fill>
    </dxf>
    <dxf>
      <fill>
        <patternFill>
          <bgColor rgb="FFFFFF99"/>
        </patternFill>
      </fill>
    </dxf>
    <dxf>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color auto="1"/>
      </font>
      <fill>
        <patternFill>
          <bgColor rgb="FFFFFF99"/>
        </patternFill>
      </fill>
    </dxf>
    <dxf>
      <font>
        <b val="0"/>
        <i val="0"/>
      </font>
      <fill>
        <patternFill>
          <bgColor rgb="FFFFFF99"/>
        </patternFill>
      </fill>
    </dxf>
    <dxf>
      <fill>
        <patternFill>
          <fgColor rgb="FFFFFF99"/>
          <bgColor rgb="FFFFFF9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DDDDDD"/>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FFFFBD"/>
      <color rgb="FFE97FA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32</xdr:row>
      <xdr:rowOff>133350</xdr:rowOff>
    </xdr:from>
    <xdr:to>
      <xdr:col>4</xdr:col>
      <xdr:colOff>752475</xdr:colOff>
      <xdr:row>35</xdr:row>
      <xdr:rowOff>206072</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71450" y="8029575"/>
          <a:ext cx="3295650" cy="75852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9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9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46</xdr:row>
          <xdr:rowOff>28575</xdr:rowOff>
        </xdr:from>
        <xdr:to>
          <xdr:col>0</xdr:col>
          <xdr:colOff>190500</xdr:colOff>
          <xdr:row>47</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A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46</xdr:row>
          <xdr:rowOff>180975</xdr:rowOff>
        </xdr:from>
        <xdr:to>
          <xdr:col>0</xdr:col>
          <xdr:colOff>285750</xdr:colOff>
          <xdr:row>47</xdr:row>
          <xdr:rowOff>152400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A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1</xdr:col>
      <xdr:colOff>1142999</xdr:colOff>
      <xdr:row>4</xdr:row>
      <xdr:rowOff>0</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2390774" cy="6477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14967</xdr:colOff>
      <xdr:row>0</xdr:row>
      <xdr:rowOff>19050</xdr:rowOff>
    </xdr:from>
    <xdr:to>
      <xdr:col>3</xdr:col>
      <xdr:colOff>152400</xdr:colOff>
      <xdr:row>4</xdr:row>
      <xdr:rowOff>1903</xdr:rowOff>
    </xdr:to>
    <xdr:pic>
      <xdr:nvPicPr>
        <xdr:cNvPr id="4" name="Grafik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14967" y="19050"/>
          <a:ext cx="2432958" cy="65912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0C00-000002000000}"/>
            </a:ext>
          </a:extLst>
        </xdr:cNvPr>
        <xdr:cNvSpPr/>
      </xdr:nvSpPr>
      <xdr:spPr>
        <a:xfrm>
          <a:off x="4826000" y="58023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0D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twoCellAnchor>
    <xdr:from>
      <xdr:col>14</xdr:col>
      <xdr:colOff>166687</xdr:colOff>
      <xdr:row>47</xdr:row>
      <xdr:rowOff>39687</xdr:rowOff>
    </xdr:from>
    <xdr:to>
      <xdr:col>14</xdr:col>
      <xdr:colOff>381000</xdr:colOff>
      <xdr:row>47</xdr:row>
      <xdr:rowOff>142874</xdr:rowOff>
    </xdr:to>
    <xdr:sp macro="" textlink="">
      <xdr:nvSpPr>
        <xdr:cNvPr id="3" name="Pfeil nach rechts 2">
          <a:extLst>
            <a:ext uri="{FF2B5EF4-FFF2-40B4-BE49-F238E27FC236}">
              <a16:creationId xmlns:a16="http://schemas.microsoft.com/office/drawing/2014/main" id="{00000000-0008-0000-0D00-000003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0E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0F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10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11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12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3" name="Gruppieren 2">
          <a:extLst>
            <a:ext uri="{FF2B5EF4-FFF2-40B4-BE49-F238E27FC236}">
              <a16:creationId xmlns:a16="http://schemas.microsoft.com/office/drawing/2014/main" id="{00000000-0008-0000-0100-000003000000}"/>
            </a:ext>
          </a:extLst>
        </xdr:cNvPr>
        <xdr:cNvGrpSpPr/>
      </xdr:nvGrpSpPr>
      <xdr:grpSpPr>
        <a:xfrm>
          <a:off x="11382376" y="1600199"/>
          <a:ext cx="3381375" cy="981075"/>
          <a:chOff x="11049000" y="1600199"/>
          <a:chExt cx="3295651" cy="981075"/>
        </a:xfrm>
      </xdr:grpSpPr>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1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13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14</xdr:col>
      <xdr:colOff>166687</xdr:colOff>
      <xdr:row>47</xdr:row>
      <xdr:rowOff>39687</xdr:rowOff>
    </xdr:from>
    <xdr:to>
      <xdr:col>14</xdr:col>
      <xdr:colOff>381000</xdr:colOff>
      <xdr:row>47</xdr:row>
      <xdr:rowOff>142874</xdr:rowOff>
    </xdr:to>
    <xdr:sp macro="" textlink="">
      <xdr:nvSpPr>
        <xdr:cNvPr id="2" name="Pfeil nach rechts 1">
          <a:extLst>
            <a:ext uri="{FF2B5EF4-FFF2-40B4-BE49-F238E27FC236}">
              <a16:creationId xmlns:a16="http://schemas.microsoft.com/office/drawing/2014/main" id="{00000000-0008-0000-1400-000002000000}"/>
            </a:ext>
          </a:extLst>
        </xdr:cNvPr>
        <xdr:cNvSpPr/>
      </xdr:nvSpPr>
      <xdr:spPr>
        <a:xfrm>
          <a:off x="4843462" y="6678612"/>
          <a:ext cx="214313" cy="10318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de-CH"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2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2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3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3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3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4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4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4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5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5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5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6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6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6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7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7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7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13</xdr:col>
      <xdr:colOff>28576</xdr:colOff>
      <xdr:row>10</xdr:row>
      <xdr:rowOff>161924</xdr:rowOff>
    </xdr:from>
    <xdr:to>
      <xdr:col>16</xdr:col>
      <xdr:colOff>1019176</xdr:colOff>
      <xdr:row>16</xdr:row>
      <xdr:rowOff>152399</xdr:rowOff>
    </xdr:to>
    <xdr:grpSp>
      <xdr:nvGrpSpPr>
        <xdr:cNvPr id="2" name="Gruppieren 1">
          <a:extLst>
            <a:ext uri="{FF2B5EF4-FFF2-40B4-BE49-F238E27FC236}">
              <a16:creationId xmlns:a16="http://schemas.microsoft.com/office/drawing/2014/main" id="{00000000-0008-0000-0800-000002000000}"/>
            </a:ext>
          </a:extLst>
        </xdr:cNvPr>
        <xdr:cNvGrpSpPr/>
      </xdr:nvGrpSpPr>
      <xdr:grpSpPr>
        <a:xfrm>
          <a:off x="11382376" y="1600199"/>
          <a:ext cx="3381375" cy="981075"/>
          <a:chOff x="11049000" y="1600199"/>
          <a:chExt cx="3295651" cy="981075"/>
        </a:xfrm>
      </xdr:grpSpPr>
      <xdr:sp macro="" textlink="">
        <xdr:nvSpPr>
          <xdr:cNvPr id="3" name="Textfeld 2">
            <a:extLst>
              <a:ext uri="{FF2B5EF4-FFF2-40B4-BE49-F238E27FC236}">
                <a16:creationId xmlns:a16="http://schemas.microsoft.com/office/drawing/2014/main" id="{00000000-0008-0000-0800-000003000000}"/>
              </a:ext>
            </a:extLst>
          </xdr:cNvPr>
          <xdr:cNvSpPr txBox="1"/>
        </xdr:nvSpPr>
        <xdr:spPr>
          <a:xfrm>
            <a:off x="11049000" y="1600199"/>
            <a:ext cx="3295651"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CH" sz="1000">
                <a:solidFill>
                  <a:srgbClr val="FF0000"/>
                </a:solidFill>
                <a:latin typeface="Arial" panose="020B0604020202020204" pitchFamily="34" charset="0"/>
                <a:cs typeface="Arial" panose="020B0604020202020204" pitchFamily="34" charset="0"/>
              </a:rPr>
              <a:t>- Eingabe Sozialversicherungsbeiträge</a:t>
            </a:r>
            <a:r>
              <a:rPr lang="de-CH" sz="1000" baseline="0">
                <a:solidFill>
                  <a:srgbClr val="FF0000"/>
                </a:solidFill>
                <a:latin typeface="Arial" panose="020B0604020202020204" pitchFamily="34" charset="0"/>
                <a:cs typeface="Arial" panose="020B0604020202020204" pitchFamily="34" charset="0"/>
              </a:rPr>
              <a:t> </a:t>
            </a:r>
            <a:r>
              <a:rPr lang="de-CH" sz="1000">
                <a:solidFill>
                  <a:srgbClr val="FF0000"/>
                </a:solidFill>
                <a:latin typeface="Arial" panose="020B0604020202020204" pitchFamily="34" charset="0"/>
                <a:cs typeface="Arial" panose="020B0604020202020204" pitchFamily="34" charset="0"/>
              </a:rPr>
              <a:t>(Arbeitnehmer)</a:t>
            </a:r>
          </a:p>
          <a:p>
            <a:r>
              <a:rPr lang="de-CH" sz="1000">
                <a:solidFill>
                  <a:srgbClr val="FF0000"/>
                </a:solidFill>
                <a:latin typeface="Arial" panose="020B0604020202020204" pitchFamily="34" charset="0"/>
                <a:cs typeface="Arial" panose="020B0604020202020204" pitchFamily="34" charset="0"/>
              </a:rPr>
              <a:t>- Fehlermeldungen/Hinweise</a:t>
            </a:r>
          </a:p>
          <a:p>
            <a:endParaRPr lang="de-CH" sz="1000" baseline="0">
              <a:solidFill>
                <a:srgbClr val="FF0000"/>
              </a:solidFill>
              <a:latin typeface="Arial" panose="020B0604020202020204" pitchFamily="34" charset="0"/>
              <a:cs typeface="Arial" panose="020B0604020202020204" pitchFamily="34" charset="0"/>
            </a:endParaRPr>
          </a:p>
          <a:p>
            <a:r>
              <a:rPr lang="de-CH" sz="1000" baseline="0">
                <a:solidFill>
                  <a:srgbClr val="FF0000"/>
                </a:solidFill>
                <a:latin typeface="Arial" panose="020B0604020202020204" pitchFamily="34" charset="0"/>
                <a:cs typeface="Arial" panose="020B0604020202020204" pitchFamily="34" charset="0"/>
              </a:rPr>
              <a:t>	</a:t>
            </a:r>
            <a:r>
              <a:rPr lang="de-CH" sz="1000" i="1" baseline="0">
                <a:solidFill>
                  <a:srgbClr val="FF0000"/>
                </a:solidFill>
                <a:latin typeface="Arial" panose="020B0604020202020204" pitchFamily="34" charset="0"/>
                <a:cs typeface="Arial" panose="020B0604020202020204" pitchFamily="34" charset="0"/>
              </a:rPr>
              <a:t>Erscheinen rechts neben </a:t>
            </a:r>
            <a:br>
              <a:rPr lang="de-CH" sz="1000" i="1" baseline="0">
                <a:solidFill>
                  <a:srgbClr val="FF0000"/>
                </a:solidFill>
                <a:latin typeface="Arial" panose="020B0604020202020204" pitchFamily="34" charset="0"/>
                <a:cs typeface="Arial" panose="020B0604020202020204" pitchFamily="34" charset="0"/>
              </a:rPr>
            </a:br>
            <a:r>
              <a:rPr lang="de-CH" sz="1000" i="1" baseline="0">
                <a:solidFill>
                  <a:srgbClr val="FF0000"/>
                </a:solidFill>
                <a:latin typeface="Arial" panose="020B0604020202020204" pitchFamily="34" charset="0"/>
                <a:cs typeface="Arial" panose="020B0604020202020204" pitchFamily="34" charset="0"/>
              </a:rPr>
              <a:t>	der Lohnabrechnung!</a:t>
            </a:r>
            <a:endParaRPr lang="de-CH" sz="1000" i="1">
              <a:solidFill>
                <a:srgbClr val="FF0000"/>
              </a:solidFill>
              <a:latin typeface="Arial" panose="020B0604020202020204" pitchFamily="34" charset="0"/>
              <a:cs typeface="Arial" panose="020B0604020202020204" pitchFamily="34" charset="0"/>
            </a:endParaRPr>
          </a:p>
        </xdr:txBody>
      </xdr:sp>
      <xdr:sp macro="" textlink="">
        <xdr:nvSpPr>
          <xdr:cNvPr id="4" name="Rechteckiger Pfeil 3">
            <a:extLst>
              <a:ext uri="{FF2B5EF4-FFF2-40B4-BE49-F238E27FC236}">
                <a16:creationId xmlns:a16="http://schemas.microsoft.com/office/drawing/2014/main" id="{00000000-0008-0000-0800-000004000000}"/>
              </a:ext>
            </a:extLst>
          </xdr:cNvPr>
          <xdr:cNvSpPr/>
        </xdr:nvSpPr>
        <xdr:spPr>
          <a:xfrm flipV="1">
            <a:off x="11515725" y="2076450"/>
            <a:ext cx="390525" cy="295275"/>
          </a:xfrm>
          <a:prstGeom prst="ben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solidFill>
                <a:schemeClr val="tx1"/>
              </a:solidFill>
            </a:endParaRPr>
          </a:p>
        </xdr:txBody>
      </xdr:sp>
    </xdr:grpSp>
    <xdr:clientData fPrintsWithSheet="0"/>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i.be.ch/de/start/themen/soziales/behinderung/blg/berner-modell.html" TargetMode="External"/><Relationship Id="rId2" Type="http://schemas.openxmlformats.org/officeDocument/2006/relationships/hyperlink" Target="mailto:info@bernermodell.ch" TargetMode="External"/><Relationship Id="rId1" Type="http://schemas.openxmlformats.org/officeDocument/2006/relationships/hyperlink" Target="http://www.assistme.ch/"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9"/>
  <sheetViews>
    <sheetView showGridLines="0" tabSelected="1" zoomScaleNormal="100" workbookViewId="0">
      <selection activeCell="K1" sqref="K1"/>
    </sheetView>
  </sheetViews>
  <sheetFormatPr baseColWidth="10" defaultColWidth="11.42578125" defaultRowHeight="18" customHeight="1" x14ac:dyDescent="0.2"/>
  <cols>
    <col min="1" max="1" width="2.5703125" style="351" customWidth="1"/>
    <col min="2" max="11" width="12.7109375" style="351" customWidth="1"/>
    <col min="12" max="16384" width="11.42578125" style="351"/>
  </cols>
  <sheetData>
    <row r="1" spans="1:13" s="382" customFormat="1" ht="21" customHeight="1" x14ac:dyDescent="0.2">
      <c r="A1" s="381" t="s">
        <v>298</v>
      </c>
    </row>
    <row r="3" spans="1:13" ht="18" customHeight="1" x14ac:dyDescent="0.2">
      <c r="A3" s="357" t="s">
        <v>0</v>
      </c>
      <c r="B3" s="358"/>
      <c r="C3" s="359"/>
      <c r="D3" s="359"/>
      <c r="E3" s="359"/>
      <c r="F3" s="359"/>
      <c r="G3" s="359"/>
      <c r="H3" s="359"/>
      <c r="I3" s="359"/>
      <c r="J3" s="359"/>
      <c r="K3" s="360"/>
      <c r="M3" s="371"/>
    </row>
    <row r="4" spans="1:13" ht="75" customHeight="1" x14ac:dyDescent="0.2">
      <c r="A4" s="361"/>
      <c r="B4" s="430" t="s">
        <v>1</v>
      </c>
      <c r="C4" s="430"/>
      <c r="D4" s="430"/>
      <c r="E4" s="430"/>
      <c r="F4" s="430"/>
      <c r="G4" s="430"/>
      <c r="H4" s="430"/>
      <c r="I4" s="430"/>
      <c r="J4" s="430"/>
      <c r="K4" s="431"/>
      <c r="M4" s="371"/>
    </row>
    <row r="5" spans="1:13" ht="18" customHeight="1" x14ac:dyDescent="0.2">
      <c r="A5" s="361"/>
      <c r="B5" s="351" t="s">
        <v>297</v>
      </c>
      <c r="C5" s="225"/>
      <c r="D5" s="225"/>
      <c r="E5" s="225"/>
      <c r="F5" s="373" t="s">
        <v>2</v>
      </c>
      <c r="G5" s="420" t="s">
        <v>296</v>
      </c>
      <c r="H5" s="420"/>
      <c r="I5" s="421"/>
      <c r="J5" s="421"/>
      <c r="K5" s="422"/>
      <c r="M5" s="371"/>
    </row>
    <row r="6" spans="1:13" ht="18" customHeight="1" x14ac:dyDescent="0.2">
      <c r="A6" s="361"/>
      <c r="F6" s="373"/>
      <c r="G6" s="432"/>
      <c r="H6" s="432"/>
      <c r="I6" s="432"/>
      <c r="J6" s="432"/>
      <c r="K6" s="362"/>
    </row>
    <row r="7" spans="1:13" ht="18" customHeight="1" x14ac:dyDescent="0.2">
      <c r="A7" s="361"/>
      <c r="B7" s="353"/>
      <c r="C7" s="351" t="s">
        <v>3</v>
      </c>
      <c r="K7" s="362"/>
    </row>
    <row r="8" spans="1:13" ht="7.5" customHeight="1" x14ac:dyDescent="0.2">
      <c r="A8" s="361"/>
      <c r="K8" s="362"/>
    </row>
    <row r="9" spans="1:13" ht="18" customHeight="1" x14ac:dyDescent="0.2">
      <c r="A9" s="356"/>
      <c r="B9" s="430" t="s">
        <v>4</v>
      </c>
      <c r="C9" s="430"/>
      <c r="D9" s="430"/>
      <c r="E9" s="430"/>
      <c r="F9" s="430"/>
      <c r="G9" s="430"/>
      <c r="H9" s="430"/>
      <c r="I9" s="430"/>
      <c r="J9" s="430"/>
      <c r="K9" s="431"/>
    </row>
    <row r="10" spans="1:13" ht="18" customHeight="1" x14ac:dyDescent="0.2">
      <c r="A10" s="356"/>
      <c r="B10" s="430"/>
      <c r="C10" s="430"/>
      <c r="D10" s="430"/>
      <c r="E10" s="430"/>
      <c r="F10" s="430"/>
      <c r="G10" s="430"/>
      <c r="H10" s="430"/>
      <c r="I10" s="430"/>
      <c r="J10" s="430"/>
      <c r="K10" s="431"/>
    </row>
    <row r="11" spans="1:13" ht="23.25" customHeight="1" x14ac:dyDescent="0.2">
      <c r="A11" s="356"/>
      <c r="B11" s="351" t="s">
        <v>5</v>
      </c>
      <c r="C11" s="225"/>
      <c r="D11" s="225"/>
      <c r="E11" s="225"/>
      <c r="F11" s="225"/>
      <c r="G11" s="225"/>
      <c r="H11" s="225"/>
      <c r="I11" s="225"/>
      <c r="J11" s="225"/>
      <c r="K11" s="380"/>
    </row>
    <row r="12" spans="1:13" ht="18" customHeight="1" x14ac:dyDescent="0.2">
      <c r="A12" s="361"/>
      <c r="B12" s="355" t="s">
        <v>6</v>
      </c>
      <c r="C12" s="354" t="s">
        <v>7</v>
      </c>
      <c r="D12" s="351" t="s">
        <v>8</v>
      </c>
      <c r="F12" s="363"/>
      <c r="K12" s="362"/>
    </row>
    <row r="13" spans="1:13" ht="9" customHeight="1" x14ac:dyDescent="0.2">
      <c r="A13" s="364"/>
      <c r="B13" s="365"/>
      <c r="C13" s="365"/>
      <c r="D13" s="365"/>
      <c r="E13" s="365"/>
      <c r="F13" s="365"/>
      <c r="G13" s="365"/>
      <c r="H13" s="365"/>
      <c r="I13" s="365"/>
      <c r="J13" s="365"/>
      <c r="K13" s="367"/>
    </row>
    <row r="14" spans="1:13" ht="18" customHeight="1" x14ac:dyDescent="0.2">
      <c r="F14" s="352"/>
    </row>
    <row r="15" spans="1:13" ht="18" customHeight="1" x14ac:dyDescent="0.2">
      <c r="A15" s="357" t="s">
        <v>9</v>
      </c>
      <c r="B15" s="359"/>
      <c r="C15" s="359"/>
      <c r="D15" s="359"/>
      <c r="E15" s="359"/>
      <c r="F15" s="359"/>
      <c r="G15" s="359"/>
      <c r="H15" s="359"/>
      <c r="I15" s="368"/>
      <c r="J15" s="359"/>
      <c r="K15" s="360"/>
    </row>
    <row r="16" spans="1:13" ht="30.75" customHeight="1" x14ac:dyDescent="0.2">
      <c r="A16" s="361"/>
      <c r="B16" s="430" t="s">
        <v>10</v>
      </c>
      <c r="C16" s="430"/>
      <c r="D16" s="430"/>
      <c r="E16" s="430"/>
      <c r="F16" s="430"/>
      <c r="G16" s="430"/>
      <c r="H16" s="430"/>
      <c r="I16" s="369" t="s">
        <v>11</v>
      </c>
      <c r="K16" s="362"/>
    </row>
    <row r="17" spans="1:11" ht="18" customHeight="1" x14ac:dyDescent="0.2">
      <c r="A17" s="361"/>
      <c r="B17" s="351" t="s">
        <v>12</v>
      </c>
      <c r="I17" s="369" t="s">
        <v>13</v>
      </c>
      <c r="K17" s="362"/>
    </row>
    <row r="18" spans="1:11" ht="18" customHeight="1" x14ac:dyDescent="0.2">
      <c r="A18" s="361"/>
      <c r="B18" s="351" t="s">
        <v>14</v>
      </c>
      <c r="I18" s="369" t="s">
        <v>15</v>
      </c>
      <c r="K18" s="362"/>
    </row>
    <row r="19" spans="1:11" ht="18" customHeight="1" x14ac:dyDescent="0.2">
      <c r="A19" s="361"/>
      <c r="B19" s="351" t="s">
        <v>16</v>
      </c>
      <c r="I19" s="369" t="s">
        <v>17</v>
      </c>
      <c r="K19" s="362"/>
    </row>
    <row r="20" spans="1:11" ht="18" customHeight="1" x14ac:dyDescent="0.2">
      <c r="A20" s="361"/>
      <c r="B20" s="351" t="s">
        <v>18</v>
      </c>
      <c r="I20" s="369" t="s">
        <v>19</v>
      </c>
      <c r="K20" s="362"/>
    </row>
    <row r="21" spans="1:11" ht="18" customHeight="1" x14ac:dyDescent="0.2">
      <c r="A21" s="364"/>
      <c r="B21" s="365" t="s">
        <v>20</v>
      </c>
      <c r="C21" s="365"/>
      <c r="D21" s="365"/>
      <c r="E21" s="365"/>
      <c r="F21" s="365"/>
      <c r="G21" s="365"/>
      <c r="H21" s="365"/>
      <c r="I21" s="370"/>
      <c r="J21" s="365"/>
      <c r="K21" s="367"/>
    </row>
    <row r="23" spans="1:11" ht="18" customHeight="1" x14ac:dyDescent="0.2">
      <c r="A23" s="357" t="s">
        <v>21</v>
      </c>
      <c r="B23" s="359"/>
      <c r="C23" s="359"/>
      <c r="D23" s="359"/>
      <c r="E23" s="359"/>
      <c r="F23" s="359"/>
      <c r="G23" s="359"/>
      <c r="H23" s="359"/>
      <c r="I23" s="359"/>
      <c r="J23" s="359"/>
      <c r="K23" s="360"/>
    </row>
    <row r="24" spans="1:11" ht="18" customHeight="1" x14ac:dyDescent="0.2">
      <c r="A24" s="361"/>
      <c r="B24" s="351" t="s">
        <v>22</v>
      </c>
      <c r="K24" s="362"/>
    </row>
    <row r="25" spans="1:11" ht="18" customHeight="1" x14ac:dyDescent="0.2">
      <c r="A25" s="361"/>
      <c r="B25" s="371" t="s">
        <v>23</v>
      </c>
      <c r="K25" s="362"/>
    </row>
    <row r="26" spans="1:11" ht="18" customHeight="1" x14ac:dyDescent="0.2">
      <c r="A26" s="361"/>
      <c r="C26" s="371" t="s">
        <v>24</v>
      </c>
      <c r="K26" s="362"/>
    </row>
    <row r="27" spans="1:11" ht="18" customHeight="1" x14ac:dyDescent="0.2">
      <c r="A27" s="361"/>
      <c r="C27" s="371" t="s">
        <v>25</v>
      </c>
      <c r="K27" s="362"/>
    </row>
    <row r="28" spans="1:11" ht="18" customHeight="1" x14ac:dyDescent="0.2">
      <c r="A28" s="361"/>
      <c r="C28" s="371" t="s">
        <v>26</v>
      </c>
      <c r="K28" s="362"/>
    </row>
    <row r="29" spans="1:11" ht="18" customHeight="1" x14ac:dyDescent="0.2">
      <c r="A29" s="364"/>
      <c r="B29" s="372" t="s">
        <v>27</v>
      </c>
      <c r="C29" s="365"/>
      <c r="D29" s="365"/>
      <c r="E29" s="365"/>
      <c r="F29" s="365"/>
      <c r="G29" s="365"/>
      <c r="H29" s="365"/>
      <c r="I29" s="370" t="s">
        <v>28</v>
      </c>
      <c r="J29" s="365"/>
      <c r="K29" s="367"/>
    </row>
    <row r="31" spans="1:11" ht="18" customHeight="1" x14ac:dyDescent="0.2">
      <c r="A31" s="357" t="s">
        <v>29</v>
      </c>
      <c r="B31" s="359"/>
      <c r="C31" s="359"/>
      <c r="D31" s="359"/>
      <c r="E31" s="359"/>
      <c r="F31" s="359"/>
      <c r="G31" s="359"/>
      <c r="H31" s="359"/>
      <c r="I31" s="359"/>
      <c r="J31" s="359"/>
      <c r="K31" s="360"/>
    </row>
    <row r="32" spans="1:11" ht="18" customHeight="1" x14ac:dyDescent="0.2">
      <c r="A32" s="361"/>
      <c r="B32" s="430" t="s">
        <v>30</v>
      </c>
      <c r="C32" s="430"/>
      <c r="D32" s="430"/>
      <c r="E32" s="430"/>
      <c r="F32" s="430"/>
      <c r="G32" s="430"/>
      <c r="H32" s="430"/>
      <c r="I32" s="430"/>
      <c r="J32" s="430"/>
      <c r="K32" s="431"/>
    </row>
    <row r="33" spans="1:11" ht="18" customHeight="1" x14ac:dyDescent="0.2">
      <c r="A33" s="361"/>
      <c r="B33" s="430"/>
      <c r="C33" s="430"/>
      <c r="D33" s="430"/>
      <c r="E33" s="430"/>
      <c r="F33" s="430"/>
      <c r="G33" s="430"/>
      <c r="H33" s="430"/>
      <c r="I33" s="430"/>
      <c r="J33" s="430"/>
      <c r="K33" s="431"/>
    </row>
    <row r="34" spans="1:11" ht="18" customHeight="1" x14ac:dyDescent="0.2">
      <c r="A34" s="361"/>
      <c r="B34" s="225"/>
      <c r="C34" s="225"/>
      <c r="D34" s="225"/>
      <c r="E34" s="225"/>
      <c r="F34" s="373" t="s">
        <v>2</v>
      </c>
      <c r="G34" s="374" t="s">
        <v>31</v>
      </c>
      <c r="H34" s="225"/>
      <c r="K34" s="362"/>
    </row>
    <row r="35" spans="1:11" ht="18" customHeight="1" x14ac:dyDescent="0.2">
      <c r="A35" s="361"/>
      <c r="B35" s="225"/>
      <c r="C35" s="225"/>
      <c r="D35" s="225"/>
      <c r="E35" s="225"/>
      <c r="G35" s="225"/>
      <c r="H35" s="225"/>
      <c r="K35" s="362"/>
    </row>
    <row r="36" spans="1:11" ht="18" customHeight="1" x14ac:dyDescent="0.2">
      <c r="A36" s="364"/>
      <c r="B36" s="365"/>
      <c r="C36" s="365"/>
      <c r="D36" s="365"/>
      <c r="E36" s="365"/>
      <c r="F36" s="365"/>
      <c r="G36" s="365"/>
      <c r="H36" s="365"/>
      <c r="I36" s="365"/>
      <c r="J36" s="365"/>
      <c r="K36" s="367"/>
    </row>
    <row r="37" spans="1:11" ht="18" customHeight="1" x14ac:dyDescent="0.2">
      <c r="A37" s="365"/>
      <c r="B37" s="375"/>
      <c r="K37" s="365"/>
    </row>
    <row r="38" spans="1:11" ht="18" customHeight="1" x14ac:dyDescent="0.2">
      <c r="A38" s="357" t="s">
        <v>32</v>
      </c>
      <c r="B38" s="358"/>
      <c r="C38" s="359"/>
      <c r="D38" s="359"/>
      <c r="E38" s="359"/>
      <c r="F38" s="359"/>
      <c r="G38" s="359"/>
      <c r="H38" s="359"/>
      <c r="I38" s="359"/>
      <c r="J38" s="359"/>
      <c r="K38" s="360"/>
    </row>
    <row r="39" spans="1:11" ht="12" customHeight="1" x14ac:dyDescent="0.2">
      <c r="A39" s="376" t="s">
        <v>33</v>
      </c>
      <c r="B39" s="351" t="s">
        <v>34</v>
      </c>
      <c r="K39" s="362"/>
    </row>
    <row r="40" spans="1:11" ht="18" customHeight="1" x14ac:dyDescent="0.2">
      <c r="A40" s="361"/>
      <c r="B40" s="351" t="s">
        <v>35</v>
      </c>
      <c r="K40" s="362"/>
    </row>
    <row r="41" spans="1:11" ht="18" customHeight="1" x14ac:dyDescent="0.2">
      <c r="A41" s="377" t="s">
        <v>33</v>
      </c>
      <c r="B41" s="365" t="s">
        <v>36</v>
      </c>
      <c r="C41" s="365"/>
      <c r="D41" s="365"/>
      <c r="E41" s="365"/>
      <c r="F41" s="365"/>
      <c r="G41" s="365"/>
      <c r="H41" s="365"/>
      <c r="I41" s="365"/>
      <c r="J41" s="378"/>
      <c r="K41" s="388"/>
    </row>
    <row r="43" spans="1:11" ht="18" customHeight="1" x14ac:dyDescent="0.2">
      <c r="A43" s="357" t="s">
        <v>37</v>
      </c>
      <c r="B43" s="358"/>
      <c r="C43" s="359"/>
      <c r="D43" s="359"/>
      <c r="E43" s="359"/>
      <c r="F43" s="359"/>
      <c r="G43" s="359"/>
      <c r="H43" s="359"/>
      <c r="I43" s="359"/>
      <c r="J43" s="359"/>
      <c r="K43" s="360"/>
    </row>
    <row r="44" spans="1:11" ht="18" customHeight="1" x14ac:dyDescent="0.2">
      <c r="A44" s="376"/>
      <c r="B44" s="428" t="s">
        <v>38</v>
      </c>
      <c r="C44" s="428"/>
      <c r="D44" s="428"/>
      <c r="E44" s="428"/>
      <c r="F44" s="428"/>
      <c r="G44" s="428"/>
      <c r="H44" s="428"/>
      <c r="I44" s="428"/>
      <c r="J44" s="385"/>
      <c r="K44" s="386"/>
    </row>
    <row r="45" spans="1:11" ht="24" customHeight="1" x14ac:dyDescent="0.2">
      <c r="A45" s="377"/>
      <c r="B45" s="429"/>
      <c r="C45" s="429"/>
      <c r="D45" s="429"/>
      <c r="E45" s="429"/>
      <c r="F45" s="429"/>
      <c r="G45" s="429"/>
      <c r="H45" s="429"/>
      <c r="I45" s="429"/>
      <c r="J45" s="387"/>
      <c r="K45" s="388"/>
    </row>
    <row r="47" spans="1:11" ht="18" customHeight="1" x14ac:dyDescent="0.2">
      <c r="A47" s="357" t="s">
        <v>39</v>
      </c>
      <c r="B47" s="358"/>
      <c r="C47" s="359"/>
      <c r="D47" s="359"/>
      <c r="E47" s="359"/>
      <c r="F47" s="359"/>
      <c r="G47" s="359"/>
      <c r="H47" s="359"/>
      <c r="I47" s="359"/>
      <c r="J47" s="359"/>
      <c r="K47" s="360"/>
    </row>
    <row r="48" spans="1:11" ht="18" customHeight="1" x14ac:dyDescent="0.2">
      <c r="A48" s="361"/>
      <c r="B48" s="351" t="s">
        <v>40</v>
      </c>
      <c r="C48" s="225"/>
      <c r="D48" s="225"/>
      <c r="E48" s="225"/>
      <c r="F48" s="225"/>
      <c r="G48" s="225"/>
      <c r="H48" s="225"/>
      <c r="K48" s="362"/>
    </row>
    <row r="49" spans="1:11" ht="18" customHeight="1" x14ac:dyDescent="0.2">
      <c r="A49" s="364"/>
      <c r="B49" s="365" t="s">
        <v>41</v>
      </c>
      <c r="C49" s="366" t="s">
        <v>42</v>
      </c>
      <c r="D49" s="365"/>
      <c r="E49" s="379"/>
      <c r="F49" s="365"/>
      <c r="G49" s="379"/>
      <c r="H49" s="379"/>
      <c r="I49" s="365"/>
      <c r="J49" s="365"/>
      <c r="K49" s="367"/>
    </row>
  </sheetData>
  <sheetProtection algorithmName="SHA-512" hashValue="1eBQUQxD1MRpAwbJRAaCylPohDhjiFDstwbeMICMIEcIUdEKAa5r6X0ePZ9GMY3tKfzklIbFfIbrsR6MG8Kqtg==" saltValue="B+1DpPH4nAx+D7mgbyFpng==" spinCount="100000" sheet="1" objects="1" scenarios="1"/>
  <mergeCells count="6">
    <mergeCell ref="B44:I45"/>
    <mergeCell ref="B4:K4"/>
    <mergeCell ref="B32:K33"/>
    <mergeCell ref="B9:K10"/>
    <mergeCell ref="B16:H16"/>
    <mergeCell ref="G6:J6"/>
  </mergeCells>
  <hyperlinks>
    <hyperlink ref="G34" r:id="rId1" xr:uid="{D9EFBA0B-CB12-4465-84E0-F7098843C8FF}"/>
    <hyperlink ref="C49" r:id="rId2" display="info@bernermodell.ch " xr:uid="{C0653D3E-E894-4C04-A2E4-6A2A3C79C811}"/>
    <hyperlink ref="G5" r:id="rId3" xr:uid="{D9EEF43D-8C27-4120-B766-A7C21E1CEC0F}"/>
  </hyperlinks>
  <pageMargins left="0.70866141732283472" right="0.39370078740157483" top="1.1811023622047245" bottom="0.78740157480314965" header="0.31496062992125984" footer="0.31496062992125984"/>
  <pageSetup paperSize="9" scale="68" orientation="portrait" r:id="rId4"/>
  <headerFooter>
    <oddHeader>&amp;R&amp;"Arial,Standard"Koordinationsstelle&amp;"Arial,Fett"
Berner Modell &amp;"Arial,Standard"- freie Lebensgestaltung von Menschen mit Behinderungen
HelpLine 031 300 33 70 / info@bernermodell.ch</oddHeader>
    <oddFooter>&amp;L&amp;F&amp;R23.10.2020</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3'!Z6="vereinfacht",'AP 5'!Z6="vereinfacht",'AP 6'!Z6="vereinfacht",'AP 7'!Z6="vereinfacht",'AP 8'!Z6="vereinfacht",'AP 4'!Z6="vereinfacht"),IF(DATEDIF($F$7,D21,"Y")&lt;17,0%,5%),0%))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4'!Z6="vereinfacht",'AP 5'!Z6="vereinfacht",'AP 6'!Z6="vereinfacht",'AP 7'!Z6="vereinfacht",'AP 8'!Z6="vereinfacht",'AP 1'!Z6="vereinfacht"),(AND(Z7="ordentlich",'AP 2'!Z7="ordentlich",'AP 3'!Z7="ordentlich",'AP 4'!Z7="ordentlich",'AP 5'!Z7="ordentlich",'AP 6'!Z7="ordentlich",'AP 7'!Z7="ordentlich",'AP 8'!Z7="ordentlich",'AP 1'!Z7="ordentlich"))),0,"ACHTUNG: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pc0BbYAjrTSCQIzAiytN2gxjm0EMKLaTWryH4f0Raij/PEHIta6Zm3e1nsmFut6ecc1BzyRkGyYb0C4RfrJE7w==" saltValue="k2cuvHiVsgBMt3dP943giA==" spinCount="100000" sheet="1" objects="1" scenarios="1"/>
  <mergeCells count="49">
    <mergeCell ref="S18:U18"/>
    <mergeCell ref="S20:U22"/>
    <mergeCell ref="C7:D7"/>
    <mergeCell ref="F7:G7"/>
    <mergeCell ref="F14:G14"/>
    <mergeCell ref="F15:G15"/>
    <mergeCell ref="F16:G16"/>
    <mergeCell ref="C8:D8"/>
    <mergeCell ref="F8:G8"/>
    <mergeCell ref="C9:D9"/>
    <mergeCell ref="F9:G9"/>
    <mergeCell ref="H52:H53"/>
    <mergeCell ref="K52:K53"/>
    <mergeCell ref="L52:L53"/>
    <mergeCell ref="M52:M53"/>
    <mergeCell ref="N52:N53"/>
    <mergeCell ref="C52:C53"/>
    <mergeCell ref="D52:D53"/>
    <mergeCell ref="E52:E53"/>
    <mergeCell ref="F52:F53"/>
    <mergeCell ref="G52:G53"/>
    <mergeCell ref="P1:Q3"/>
    <mergeCell ref="A2:C2"/>
    <mergeCell ref="I2:K2"/>
    <mergeCell ref="Y2:Y5"/>
    <mergeCell ref="AA2:AA5"/>
    <mergeCell ref="I4:L4"/>
    <mergeCell ref="S4:T4"/>
    <mergeCell ref="X4:X5"/>
    <mergeCell ref="Z4:Z5"/>
    <mergeCell ref="A1:C1"/>
    <mergeCell ref="D1:F2"/>
    <mergeCell ref="G1:H3"/>
    <mergeCell ref="I1:K1"/>
    <mergeCell ref="L1:N2"/>
    <mergeCell ref="AB4:AB5"/>
    <mergeCell ref="AC4:AC5"/>
    <mergeCell ref="AD4:AD5"/>
    <mergeCell ref="AH4:AI5"/>
    <mergeCell ref="C6:D6"/>
    <mergeCell ref="F6:G6"/>
    <mergeCell ref="O52:O53"/>
    <mergeCell ref="P52:P53"/>
    <mergeCell ref="S24:U26"/>
    <mergeCell ref="S28:U30"/>
    <mergeCell ref="S31:U32"/>
    <mergeCell ref="S33:U35"/>
    <mergeCell ref="S36:U40"/>
    <mergeCell ref="S41:U43"/>
  </mergeCells>
  <conditionalFormatting sqref="A25">
    <cfRule type="beginsWith" dxfId="86" priority="21" operator="beginsWith" text="Anz">
      <formula>LEFT(A25,LEN("Anz"))="Anz"</formula>
    </cfRule>
  </conditionalFormatting>
  <conditionalFormatting sqref="A26">
    <cfRule type="containsText" dxfId="85" priority="51" operator="containsText" text="Anzahl Stunden I">
      <formula>NOT(ISERROR(SEARCH("Anzahl Stunden I",A26)))</formula>
    </cfRule>
    <cfRule type="containsText" dxfId="84" priority="50" operator="containsText" text="Anzahl Stunden Standard">
      <formula>NOT(ISERROR(SEARCH("Anzahl Stunden Standard",A26)))</formula>
    </cfRule>
    <cfRule type="containsText" dxfId="83" priority="46" operator="containsText" text="Anzahl Stunden">
      <formula>NOT(ISERROR(SEARCH("Anzahl Stunden",A26)))</formula>
    </cfRule>
  </conditionalFormatting>
  <conditionalFormatting sqref="A28">
    <cfRule type="containsText" dxfId="82" priority="48" operator="containsText" text="Anzahl Stunden Quali B">
      <formula>NOT(ISERROR(SEARCH("Anzahl Stunden Quali B",A28)))</formula>
    </cfRule>
    <cfRule type="containsText" dxfId="81" priority="49" operator="containsText" text="Anzahl Stunden II">
      <formula>NOT(ISERROR(SEARCH("Anzahl Stunden II",A28)))</formula>
    </cfRule>
  </conditionalFormatting>
  <conditionalFormatting sqref="A24:B24">
    <cfRule type="expression" dxfId="80" priority="47">
      <formula>$G$11="ja"</formula>
    </cfRule>
  </conditionalFormatting>
  <conditionalFormatting sqref="A25:B25">
    <cfRule type="expression" dxfId="79" priority="41">
      <formula>$P$10&gt;0.1</formula>
    </cfRule>
  </conditionalFormatting>
  <conditionalFormatting sqref="A50:B50">
    <cfRule type="expression" dxfId="78" priority="177">
      <formula>$G$11="ja"</formula>
    </cfRule>
  </conditionalFormatting>
  <conditionalFormatting sqref="A60:Q64">
    <cfRule type="expression" dxfId="77" priority="65">
      <formula>$G$12="nein"</formula>
    </cfRule>
  </conditionalFormatting>
  <conditionalFormatting sqref="B25">
    <cfRule type="beginsWith" dxfId="76" priority="20" operator="beginsWith" text="Anz">
      <formula>LEFT(B25,LEN("Anz"))="Anz"</formula>
    </cfRule>
  </conditionalFormatting>
  <conditionalFormatting sqref="B26">
    <cfRule type="containsText" dxfId="75" priority="38" operator="containsText" text="Std.">
      <formula>NOT(ISERROR(SEARCH("Std.",B26)))</formula>
    </cfRule>
    <cfRule type="containsText" dxfId="74" priority="39" operator="containsText" text="Std.">
      <formula>NOT(ISERROR(SEARCH("Std.",B26)))</formula>
    </cfRule>
    <cfRule type="containsText" dxfId="73" priority="40" operator="containsText" text="Std.">
      <formula>NOT(ISERROR(SEARCH("Std.",B26)))</formula>
    </cfRule>
  </conditionalFormatting>
  <conditionalFormatting sqref="B28">
    <cfRule type="containsText" dxfId="72" priority="35" operator="containsText" text="Std.">
      <formula>NOT(ISERROR(SEARCH("Std.",B28)))</formula>
    </cfRule>
    <cfRule type="containsText" dxfId="71" priority="36" operator="containsText" text="Std.">
      <formula>NOT(ISERROR(SEARCH("Std.",B28)))</formula>
    </cfRule>
    <cfRule type="containsText" dxfId="70" priority="37" operator="containsText" text="Std.">
      <formula>NOT(ISERROR(SEARCH("Std.",B28)))</formula>
    </cfRule>
  </conditionalFormatting>
  <conditionalFormatting sqref="C17">
    <cfRule type="expression" dxfId="69" priority="13">
      <formula>$A$17="13. Monatslohn"</formula>
    </cfRule>
  </conditionalFormatting>
  <conditionalFormatting sqref="C22:H22">
    <cfRule type="cellIs" dxfId="68" priority="10" operator="greaterThan">
      <formula>1</formula>
    </cfRule>
  </conditionalFormatting>
  <conditionalFormatting sqref="C23:H23 K23:P23">
    <cfRule type="expression" dxfId="67" priority="16">
      <formula>$B$23="CHF"</formula>
    </cfRule>
  </conditionalFormatting>
  <conditionalFormatting sqref="C24:H24 K24:P24">
    <cfRule type="expression" dxfId="66" priority="44">
      <formula>$G$11="ja"</formula>
    </cfRule>
  </conditionalFormatting>
  <conditionalFormatting sqref="C25:H25 K25:P25">
    <cfRule type="expression" dxfId="65" priority="4">
      <formula>$B$25="Anz."</formula>
    </cfRule>
  </conditionalFormatting>
  <conditionalFormatting sqref="C26:H26">
    <cfRule type="expression" dxfId="64" priority="9">
      <formula>$C$16="Stundenlohn"</formula>
    </cfRule>
    <cfRule type="expression" dxfId="63" priority="8">
      <formula>$G$12="ja"</formula>
    </cfRule>
  </conditionalFormatting>
  <conditionalFormatting sqref="C28:H28 K28:P28">
    <cfRule type="expression" dxfId="62" priority="45">
      <formula>$G$10="Ja"</formula>
    </cfRule>
  </conditionalFormatting>
  <conditionalFormatting sqref="C50:H50">
    <cfRule type="expression" dxfId="61" priority="152">
      <formula>C51&lt;-0.01</formula>
    </cfRule>
    <cfRule type="expression" dxfId="60" priority="151">
      <formula>C51&gt;0.01</formula>
    </cfRule>
  </conditionalFormatting>
  <conditionalFormatting sqref="C51:H51">
    <cfRule type="cellIs" dxfId="59" priority="166" operator="greaterThan">
      <formula>0.04</formula>
    </cfRule>
    <cfRule type="cellIs" dxfId="58" priority="165" operator="lessThan">
      <formula>-0.04</formula>
    </cfRule>
  </conditionalFormatting>
  <conditionalFormatting sqref="G1">
    <cfRule type="containsText" dxfId="57" priority="107" operator="containsText" text="Achtung Fehler">
      <formula>NOT(ISERROR(SEARCH("Achtung Fehler",G1)))</formula>
    </cfRule>
  </conditionalFormatting>
  <conditionalFormatting sqref="G10">
    <cfRule type="expression" dxfId="56" priority="12">
      <formula>$C$16="Stundenlohn"</formula>
    </cfRule>
  </conditionalFormatting>
  <conditionalFormatting sqref="H17:H18">
    <cfRule type="beginsWith" dxfId="55" priority="194" operator="beginsWith" text="ACHTUNG">
      <formula>LEFT(H17,LEN("ACHTUNG"))="ACHTUNG"</formula>
    </cfRule>
  </conditionalFormatting>
  <conditionalFormatting sqref="I25">
    <cfRule type="beginsWith" dxfId="54" priority="2" operator="beginsWith" text="Anz">
      <formula>LEFT(I25,LEN("Anz"))="Anz"</formula>
    </cfRule>
  </conditionalFormatting>
  <conditionalFormatting sqref="I26">
    <cfRule type="containsText" dxfId="53" priority="31" operator="containsText" text="Anzahl Stunden Standard">
      <formula>NOT(ISERROR(SEARCH("Anzahl Stunden Standard",I26)))</formula>
    </cfRule>
    <cfRule type="containsText" dxfId="52" priority="28" operator="containsText" text="Anzahl Stunden">
      <formula>NOT(ISERROR(SEARCH("Anzahl Stunden",I26)))</formula>
    </cfRule>
    <cfRule type="containsText" dxfId="51" priority="32" operator="containsText" text="Anzahl Stunden I">
      <formula>NOT(ISERROR(SEARCH("Anzahl Stunden I",I26)))</formula>
    </cfRule>
  </conditionalFormatting>
  <conditionalFormatting sqref="I28">
    <cfRule type="containsText" dxfId="50" priority="30" operator="containsText" text="Anzahl Stunden II">
      <formula>NOT(ISERROR(SEARCH("Anzahl Stunden II",I28)))</formula>
    </cfRule>
    <cfRule type="containsText" dxfId="49" priority="29" operator="containsText" text="Anzahl Stunden Quali B">
      <formula>NOT(ISERROR(SEARCH("Anzahl Stunden Quali B",I28)))</formula>
    </cfRule>
  </conditionalFormatting>
  <conditionalFormatting sqref="I24:J24">
    <cfRule type="expression" dxfId="48" priority="34">
      <formula>$G$11="ja"</formula>
    </cfRule>
  </conditionalFormatting>
  <conditionalFormatting sqref="I25:J25">
    <cfRule type="expression" dxfId="47" priority="3">
      <formula>$P$10&gt;0.1</formula>
    </cfRule>
  </conditionalFormatting>
  <conditionalFormatting sqref="I50:J50">
    <cfRule type="expression" dxfId="46" priority="129">
      <formula>$G$11="ja"</formula>
    </cfRule>
  </conditionalFormatting>
  <conditionalFormatting sqref="J25">
    <cfRule type="beginsWith" dxfId="45" priority="1" operator="beginsWith" text="Anz">
      <formula>LEFT(J25,LEN("Anz"))="Anz"</formula>
    </cfRule>
  </conditionalFormatting>
  <conditionalFormatting sqref="J26">
    <cfRule type="containsText" dxfId="44" priority="27" operator="containsText" text="Std.">
      <formula>NOT(ISERROR(SEARCH("Std.",J26)))</formula>
    </cfRule>
    <cfRule type="containsText" dxfId="43" priority="26" operator="containsText" text="Std.">
      <formula>NOT(ISERROR(SEARCH("Std.",J26)))</formula>
    </cfRule>
    <cfRule type="containsText" dxfId="42" priority="25" operator="containsText" text="Std.">
      <formula>NOT(ISERROR(SEARCH("Std.",J26)))</formula>
    </cfRule>
  </conditionalFormatting>
  <conditionalFormatting sqref="J28">
    <cfRule type="containsText" dxfId="41" priority="22" operator="containsText" text="Std.">
      <formula>NOT(ISERROR(SEARCH("Std.",J28)))</formula>
    </cfRule>
    <cfRule type="containsText" dxfId="40" priority="23" operator="containsText" text="Std.">
      <formula>NOT(ISERROR(SEARCH("Std.",J28)))</formula>
    </cfRule>
    <cfRule type="containsText" dxfId="39" priority="24" operator="containsText" text="Std.">
      <formula>NOT(ISERROR(SEARCH("Std.",J28)))</formula>
    </cfRule>
  </conditionalFormatting>
  <conditionalFormatting sqref="K22:P22">
    <cfRule type="cellIs" dxfId="38" priority="11" operator="greaterThan">
      <formula>1</formula>
    </cfRule>
  </conditionalFormatting>
  <conditionalFormatting sqref="K26:P26">
    <cfRule type="expression" dxfId="37" priority="42">
      <formula>$G$12="ja"</formula>
    </cfRule>
    <cfRule type="expression" dxfId="36" priority="43">
      <formula>$C$16="Stundenlohn"</formula>
    </cfRule>
  </conditionalFormatting>
  <conditionalFormatting sqref="K50:P50">
    <cfRule type="expression" dxfId="35" priority="139">
      <formula>K51&gt;0.01</formula>
    </cfRule>
    <cfRule type="expression" dxfId="34" priority="140">
      <formula>K51&lt;-0.01</formula>
    </cfRule>
  </conditionalFormatting>
  <conditionalFormatting sqref="K51:P51">
    <cfRule type="cellIs" dxfId="33" priority="161" operator="lessThan">
      <formula>-0.04</formula>
    </cfRule>
    <cfRule type="cellIs" dxfId="32" priority="162" operator="greaterThan">
      <formula>0.04</formula>
    </cfRule>
  </conditionalFormatting>
  <conditionalFormatting sqref="L7">
    <cfRule type="expression" dxfId="31" priority="57">
      <formula>$C$16="Bitte auswählen"</formula>
    </cfRule>
  </conditionalFormatting>
  <conditionalFormatting sqref="L12">
    <cfRule type="expression" dxfId="30" priority="60">
      <formula>$G$10="ja"</formula>
    </cfRule>
  </conditionalFormatting>
  <conditionalFormatting sqref="M8">
    <cfRule type="expression" dxfId="29" priority="56">
      <formula>$C$16="Stundenlohn"</formula>
    </cfRule>
    <cfRule type="expression" dxfId="28" priority="55">
      <formula>$C$16="Monatslohn"</formula>
    </cfRule>
  </conditionalFormatting>
  <conditionalFormatting sqref="M13">
    <cfRule type="expression" dxfId="27" priority="58">
      <formula>$G$10="ja"</formula>
    </cfRule>
  </conditionalFormatting>
  <conditionalFormatting sqref="P1">
    <cfRule type="containsText" dxfId="26" priority="106" operator="containsText" text="Achtung Fehler">
      <formula>NOT(ISERROR(SEARCH("Achtung Fehler",P1)))</formula>
    </cfRule>
  </conditionalFormatting>
  <conditionalFormatting sqref="P7">
    <cfRule type="expression" dxfId="25" priority="59">
      <formula>$N$7="1 Stunde Bereitschaft ="</formula>
    </cfRule>
  </conditionalFormatting>
  <conditionalFormatting sqref="P10">
    <cfRule type="expression" dxfId="24" priority="54">
      <formula>$Q$10="Stunden"</formula>
    </cfRule>
  </conditionalFormatting>
  <conditionalFormatting sqref="S20">
    <cfRule type="beginsWith" dxfId="23" priority="5" operator="beginsWith" text="ACHTUNG">
      <formula>LEFT(S20,LEN("ACHTUNG"))="ACHTUNG"</formula>
    </cfRule>
    <cfRule type="beginsWith" dxfId="22" priority="7" operator="beginsWith" text="Vereinfachtes">
      <formula>LEFT(S20,LEN("Vereinfachtes"))="Vereinfachtes"</formula>
    </cfRule>
    <cfRule type="beginsWith" dxfId="21" priority="6" operator="beginsWith" text="Hinweis">
      <formula>LEFT(S20,LEN("Hinweis"))="Hinweis"</formula>
    </cfRule>
  </conditionalFormatting>
  <conditionalFormatting sqref="S24">
    <cfRule type="beginsWith" dxfId="20" priority="101" operator="beginsWith" text="ACHTUNG">
      <formula>LEFT(S24,LEN("ACHTUNG"))="ACHTUNG"</formula>
    </cfRule>
  </conditionalFormatting>
  <conditionalFormatting sqref="S28">
    <cfRule type="beginsWith" dxfId="19" priority="100" operator="beginsWith" text="ACHTUNG">
      <formula>LEFT(S28,LEN("ACHTUNG"))="ACHTUNG"</formula>
    </cfRule>
  </conditionalFormatting>
  <conditionalFormatting sqref="S36:S37">
    <cfRule type="beginsWith" dxfId="18" priority="105" operator="beginsWith" text="ACHTUNG">
      <formula>LEFT(S36,LEN("ACHTUNG"))="ACHTUNG"</formula>
    </cfRule>
  </conditionalFormatting>
  <dataValidations count="7">
    <dataValidation type="list" allowBlank="1" showInputMessage="1" showErrorMessage="1" sqref="F9:G9" xr:uid="{00000000-0002-0000-0900-000000000000}">
      <formula1>$AB$6:$AB$19</formula1>
    </dataValidation>
    <dataValidation type="list" allowBlank="1" showInputMessage="1" showErrorMessage="1" sqref="G10" xr:uid="{00000000-0002-0000-0900-000001000000}">
      <formula1>$AC$13:$AC$14</formula1>
    </dataValidation>
    <dataValidation type="list" allowBlank="1" showInputMessage="1" showErrorMessage="1" sqref="C17" xr:uid="{00000000-0002-0000-0900-000002000000}">
      <formula1>$Y$11:$Y$12</formula1>
    </dataValidation>
    <dataValidation type="list" allowBlank="1" showInputMessage="1" showErrorMessage="1" sqref="C10" xr:uid="{5FB9130F-5B6F-4580-A52D-4BFAE77F4958}">
      <formula1>$X$6:$X$8</formula1>
    </dataValidation>
    <dataValidation type="list" allowBlank="1" showInputMessage="1" showErrorMessage="1" sqref="C16" xr:uid="{00000000-0002-0000-0900-000004000000}">
      <formula1>$X$11:$X$13</formula1>
    </dataValidation>
    <dataValidation type="list" allowBlank="1" showInputMessage="1" showErrorMessage="1" sqref="G11:G12" xr:uid="{00000000-0002-0000-0900-000005000000}">
      <formula1>$AH$6:$AH$8</formula1>
    </dataValidation>
    <dataValidation type="list" allowBlank="1" showInputMessage="1" showErrorMessage="1" sqref="G13" xr:uid="{00000000-0002-0000-0900-000006000000}">
      <formula1>$Y$6:$Y$8</formula1>
    </dataValidation>
  </dataValidations>
  <hyperlinks>
    <hyperlink ref="G1:H3" location="Fehler9" display="Fehler9" xr:uid="{00000000-0004-0000-0900-000000000000}"/>
    <hyperlink ref="P1:Q3" location="Fehler9" display="Fehler9" xr:uid="{00000000-0004-0000-09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1">
    <tabColor theme="6" tint="0.59999389629810485"/>
    <pageSetUpPr fitToPage="1"/>
  </sheetPr>
  <dimension ref="A1:L55"/>
  <sheetViews>
    <sheetView showGridLines="0" showZeros="0" showOutlineSymbols="0" zoomScaleNormal="100" workbookViewId="0">
      <selection activeCell="A9" sqref="A9:B9"/>
    </sheetView>
  </sheetViews>
  <sheetFormatPr baseColWidth="10" defaultColWidth="11.42578125" defaultRowHeight="12.75" x14ac:dyDescent="0.2"/>
  <cols>
    <col min="1" max="2" width="18.7109375" style="1" customWidth="1"/>
    <col min="3" max="4" width="11.7109375" style="1" customWidth="1"/>
    <col min="5" max="5" width="0.85546875" style="1" customWidth="1"/>
    <col min="6" max="7" width="10.28515625" style="1" customWidth="1"/>
    <col min="8" max="8" width="4.7109375" style="1" customWidth="1"/>
    <col min="9" max="9" width="15.7109375" style="1" customWidth="1" collapsed="1"/>
    <col min="10" max="10" width="11.42578125" style="1"/>
    <col min="11" max="11" width="0" style="1" hidden="1" customWidth="1"/>
    <col min="12" max="12" width="47.7109375" style="1" customWidth="1"/>
    <col min="13" max="16384" width="11.42578125" style="1"/>
  </cols>
  <sheetData>
    <row r="1" spans="1:12" ht="12.75" customHeight="1" x14ac:dyDescent="0.2">
      <c r="A1" s="477"/>
      <c r="B1" s="477"/>
      <c r="C1" s="477"/>
      <c r="D1" s="163"/>
      <c r="E1" s="163"/>
      <c r="F1" s="471" t="s">
        <v>148</v>
      </c>
      <c r="G1" s="471"/>
      <c r="H1" s="471"/>
      <c r="I1" s="471"/>
    </row>
    <row r="2" spans="1:12" ht="12.75" customHeight="1" x14ac:dyDescent="0.2">
      <c r="A2" s="477"/>
      <c r="B2" s="477"/>
      <c r="C2" s="477"/>
      <c r="D2" s="163"/>
      <c r="E2" s="163"/>
      <c r="F2" s="471"/>
      <c r="G2" s="471"/>
      <c r="H2" s="471"/>
      <c r="I2" s="471"/>
    </row>
    <row r="3" spans="1:12" ht="12.75" customHeight="1" x14ac:dyDescent="0.2">
      <c r="A3" s="477"/>
      <c r="B3" s="477"/>
      <c r="C3" s="477"/>
      <c r="D3" s="163"/>
      <c r="E3" s="163"/>
      <c r="F3" s="471"/>
      <c r="G3" s="471"/>
      <c r="H3" s="471"/>
      <c r="I3" s="471"/>
    </row>
    <row r="4" spans="1:12" ht="12.75" customHeight="1" x14ac:dyDescent="0.2">
      <c r="A4" s="161"/>
      <c r="B4" s="161"/>
      <c r="C4" s="161"/>
      <c r="D4" s="163"/>
      <c r="E4" s="163"/>
      <c r="F4" s="471"/>
      <c r="G4" s="471"/>
      <c r="H4" s="471"/>
      <c r="I4" s="471"/>
    </row>
    <row r="5" spans="1:12" ht="15.75" thickBot="1" x14ac:dyDescent="0.3">
      <c r="B5" s="25"/>
      <c r="C5" s="25"/>
      <c r="F5" s="25"/>
    </row>
    <row r="6" spans="1:12" x14ac:dyDescent="0.2">
      <c r="A6" s="24"/>
      <c r="F6" s="35" t="s">
        <v>149</v>
      </c>
      <c r="G6" s="26"/>
      <c r="H6" s="474">
        <f ca="1">TODAY()</f>
        <v>45282</v>
      </c>
      <c r="I6" s="475"/>
      <c r="L6" s="43" t="s">
        <v>150</v>
      </c>
    </row>
    <row r="7" spans="1:12" x14ac:dyDescent="0.2">
      <c r="F7" s="36" t="s">
        <v>151</v>
      </c>
      <c r="G7" s="2"/>
      <c r="H7" s="472"/>
      <c r="I7" s="473"/>
      <c r="L7" s="44" t="s">
        <v>152</v>
      </c>
    </row>
    <row r="8" spans="1:12" x14ac:dyDescent="0.2">
      <c r="A8" s="478" t="s">
        <v>153</v>
      </c>
      <c r="B8" s="478"/>
      <c r="F8" s="89" t="s">
        <v>154</v>
      </c>
      <c r="G8" s="3"/>
      <c r="H8" s="92"/>
      <c r="I8" s="90"/>
      <c r="L8" s="45" t="s">
        <v>155</v>
      </c>
    </row>
    <row r="9" spans="1:12" x14ac:dyDescent="0.2">
      <c r="A9" s="472"/>
      <c r="B9" s="472"/>
      <c r="C9" s="2"/>
      <c r="F9" s="4"/>
      <c r="L9" s="46" t="s">
        <v>156</v>
      </c>
    </row>
    <row r="10" spans="1:12" x14ac:dyDescent="0.2">
      <c r="A10" s="472"/>
      <c r="B10" s="472"/>
      <c r="C10" s="2"/>
      <c r="F10" s="5" t="s">
        <v>157</v>
      </c>
      <c r="H10" s="5"/>
      <c r="L10" s="46" t="s">
        <v>158</v>
      </c>
    </row>
    <row r="11" spans="1:12" x14ac:dyDescent="0.2">
      <c r="A11" s="472"/>
      <c r="B11" s="472"/>
      <c r="C11" s="2"/>
      <c r="L11" s="46" t="s">
        <v>159</v>
      </c>
    </row>
    <row r="12" spans="1:12" x14ac:dyDescent="0.2">
      <c r="A12" s="472"/>
      <c r="B12" s="472"/>
      <c r="C12" s="2"/>
      <c r="F12" s="35" t="s">
        <v>160</v>
      </c>
      <c r="G12" s="91"/>
      <c r="H12" s="91"/>
      <c r="I12" s="164"/>
      <c r="L12" s="45" t="s">
        <v>161</v>
      </c>
    </row>
    <row r="13" spans="1:12" x14ac:dyDescent="0.2">
      <c r="A13" s="472"/>
      <c r="B13" s="472"/>
      <c r="C13" s="2"/>
      <c r="F13" s="476"/>
      <c r="G13" s="472"/>
      <c r="H13" s="472"/>
      <c r="I13" s="473"/>
      <c r="L13" s="45" t="s">
        <v>162</v>
      </c>
    </row>
    <row r="14" spans="1:12" x14ac:dyDescent="0.2">
      <c r="A14" s="472"/>
      <c r="B14" s="472"/>
      <c r="C14" s="2"/>
      <c r="F14" s="476"/>
      <c r="G14" s="472"/>
      <c r="H14" s="472"/>
      <c r="I14" s="473"/>
      <c r="L14" s="45"/>
    </row>
    <row r="15" spans="1:12" x14ac:dyDescent="0.2">
      <c r="A15" s="24"/>
      <c r="F15" s="476"/>
      <c r="G15" s="472"/>
      <c r="H15" s="472"/>
      <c r="I15" s="473"/>
      <c r="L15" s="47" t="s">
        <v>163</v>
      </c>
    </row>
    <row r="16" spans="1:12" ht="12.75" customHeight="1" x14ac:dyDescent="0.2">
      <c r="A16" s="24"/>
      <c r="F16" s="483"/>
      <c r="G16" s="484"/>
      <c r="H16" s="484"/>
      <c r="I16" s="485"/>
      <c r="L16" s="479" t="s">
        <v>164</v>
      </c>
    </row>
    <row r="17" spans="1:12" ht="27" customHeight="1" x14ac:dyDescent="0.35">
      <c r="A17" s="34" t="s">
        <v>165</v>
      </c>
      <c r="L17" s="479"/>
    </row>
    <row r="18" spans="1:12" x14ac:dyDescent="0.2">
      <c r="A18" s="480" t="str">
        <f>IF(OR(H25="BGSA darf nicht angewendet werden!",H27="BGSA darf nicht angewendet werden!",H29="BGSA darf nicht angewendet werden!",H31="BGSA darf nicht angewendet werden!",H33="BGSA darf nicht angewendet werden!",H35="BGSA darf nicht angewendet werden!",H37="BGSA darf nicht angewendet werden!",H43="BGSA darf nicht angewendet werden!",H39="BGSA darf nicht angewendet werden!",H41="BGSA darf nicht angewendet werden!"),"Es muss für alle das ordentliche Abrechnungsverfahren angewendet werden!","")</f>
        <v/>
      </c>
      <c r="B18" s="480"/>
      <c r="C18" s="480"/>
      <c r="D18" s="480"/>
      <c r="E18" s="480"/>
      <c r="F18" s="480"/>
      <c r="G18" s="480"/>
      <c r="H18" s="480"/>
      <c r="I18" s="480"/>
      <c r="L18" s="172"/>
    </row>
    <row r="19" spans="1:12" ht="12.75" customHeight="1" x14ac:dyDescent="0.2">
      <c r="A19" s="480"/>
      <c r="B19" s="480"/>
      <c r="C19" s="480"/>
      <c r="D19" s="480"/>
      <c r="E19" s="480"/>
      <c r="F19" s="480"/>
      <c r="G19" s="480"/>
      <c r="H19" s="480"/>
      <c r="I19" s="480"/>
      <c r="L19" s="44" t="s">
        <v>166</v>
      </c>
    </row>
    <row r="20" spans="1:12" x14ac:dyDescent="0.2">
      <c r="A20" s="480"/>
      <c r="B20" s="480"/>
      <c r="C20" s="480"/>
      <c r="D20" s="480"/>
      <c r="E20" s="480"/>
      <c r="F20" s="480"/>
      <c r="G20" s="480"/>
      <c r="H20" s="480"/>
      <c r="I20" s="480"/>
      <c r="L20" s="169" t="s">
        <v>167</v>
      </c>
    </row>
    <row r="21" spans="1:12" ht="13.5" thickBot="1" x14ac:dyDescent="0.25">
      <c r="A21" s="3"/>
      <c r="B21" s="3"/>
      <c r="C21" s="3"/>
      <c r="D21" s="3"/>
      <c r="E21" s="3"/>
      <c r="F21" s="3"/>
      <c r="G21" s="50" t="s">
        <v>168</v>
      </c>
      <c r="H21" s="493">
        <f>'AP 1'!A21</f>
        <v>45657</v>
      </c>
      <c r="I21" s="493"/>
      <c r="L21" s="186"/>
    </row>
    <row r="22" spans="1:12" s="165" customFormat="1" ht="25.5" customHeight="1" x14ac:dyDescent="0.2">
      <c r="A22" s="35" t="s">
        <v>169</v>
      </c>
      <c r="B22" s="16"/>
      <c r="C22" s="174"/>
      <c r="D22" s="175"/>
      <c r="E22" s="179"/>
      <c r="F22" s="486" t="s">
        <v>170</v>
      </c>
      <c r="G22" s="486"/>
      <c r="H22" s="487" t="s">
        <v>171</v>
      </c>
      <c r="I22" s="488"/>
      <c r="L22" s="1"/>
    </row>
    <row r="23" spans="1:12" s="165" customFormat="1" ht="12.75" customHeight="1" x14ac:dyDescent="0.2">
      <c r="A23" s="36" t="s">
        <v>74</v>
      </c>
      <c r="B23" s="17"/>
      <c r="C23" s="18" t="s">
        <v>172</v>
      </c>
      <c r="D23" s="178"/>
      <c r="E23" s="8"/>
      <c r="F23" s="182" t="s">
        <v>173</v>
      </c>
      <c r="G23" s="13" t="s">
        <v>174</v>
      </c>
      <c r="H23" s="489"/>
      <c r="I23" s="490"/>
      <c r="L23" s="1"/>
    </row>
    <row r="24" spans="1:12" s="165" customFormat="1" x14ac:dyDescent="0.2">
      <c r="A24" s="37" t="s">
        <v>175</v>
      </c>
      <c r="B24" s="19"/>
      <c r="C24" s="20" t="s">
        <v>176</v>
      </c>
      <c r="D24" s="9"/>
      <c r="E24" s="10"/>
      <c r="F24" s="183" t="s">
        <v>177</v>
      </c>
      <c r="G24" s="9" t="s">
        <v>178</v>
      </c>
      <c r="H24" s="491"/>
      <c r="I24" s="492"/>
      <c r="L24" s="1"/>
    </row>
    <row r="25" spans="1:12" ht="15" customHeight="1" x14ac:dyDescent="0.2">
      <c r="A25" s="38" t="str">
        <f>CONCATENATE('AP 1'!$C$6,$K$25,'AP 1'!$C$7)</f>
        <v xml:space="preserve">, </v>
      </c>
      <c r="B25" s="7"/>
      <c r="C25" s="14">
        <f>'AP 1'!$F$7</f>
        <v>0</v>
      </c>
      <c r="D25" s="185" t="str">
        <f>IF('AP 1'!$C$10="Bitte auswählen","",IF('AP 1'!$C$10="weiblich","w","m"))</f>
        <v/>
      </c>
      <c r="E25" s="40"/>
      <c r="F25" s="11"/>
      <c r="G25" s="14"/>
      <c r="H25" s="465">
        <f>IF(DATEDIF(C25,'AP 1'!$C$21,"Y")&lt;17,0,IF(OR('AP 1'!$U$2&gt;22049.99,'AP 1'!$Q$38+'AP 1'!$Q$39&gt;22049.99),"BGSA darf nicht angewendet werden!",IF('AP 1'!$AG$3&lt;22049.99,'AP 1'!$Q$39+'AP 1'!$Q$38,'AP 1'!Q$39)))</f>
        <v>0</v>
      </c>
      <c r="I25" s="466"/>
      <c r="K25" s="1" t="s">
        <v>179</v>
      </c>
    </row>
    <row r="26" spans="1:12" ht="15" customHeight="1" x14ac:dyDescent="0.2">
      <c r="A26" s="37">
        <f>'AP 1'!$C$8</f>
        <v>0</v>
      </c>
      <c r="B26" s="10">
        <f>'AP 1'!$C$9</f>
        <v>0</v>
      </c>
      <c r="C26" s="481">
        <f>'AP 1'!$F$6</f>
        <v>0</v>
      </c>
      <c r="D26" s="482"/>
      <c r="E26" s="139"/>
      <c r="F26" s="184">
        <f>IF('AP 1'!$Q$37=0,0,IF('AP 1'!$C$14&lt;'AP 1'!$C$21,'AP 1'!$C$21,'AP 1'!$C$14))</f>
        <v>0</v>
      </c>
      <c r="G26" s="15">
        <f>IF('AP 1'!$Q$37=0,0,IF('AP 1'!$C$15&gt;0,'AP 1'!$C$15,$H$21))</f>
        <v>0</v>
      </c>
      <c r="H26" s="467"/>
      <c r="I26" s="468"/>
      <c r="J26" s="170" t="str">
        <f>IF(AND(H25=0,C25=0),"",IF(H25=0,"Lohnausweis erstellen!!",""))</f>
        <v/>
      </c>
    </row>
    <row r="27" spans="1:12" ht="15" customHeight="1" x14ac:dyDescent="0.2">
      <c r="A27" s="38" t="str">
        <f>CONCATENATE('AP 2'!$C$6,$K$25,'AP 2'!$C$7)</f>
        <v xml:space="preserve">, </v>
      </c>
      <c r="B27" s="7"/>
      <c r="C27" s="14">
        <f>'AP 2'!$F$7</f>
        <v>0</v>
      </c>
      <c r="D27" s="185" t="str">
        <f>IF('AP 2'!$C$10="Bitte auswählen","",IF('AP 2'!$C$10="weiblich","w","m"))</f>
        <v/>
      </c>
      <c r="E27" s="40"/>
      <c r="F27" s="11"/>
      <c r="G27" s="14"/>
      <c r="H27" s="465">
        <f>IF(DATEDIF(C25,'AP 2'!$C$21,"Y")&lt;17,0,IF(OR('AP 2'!$U$2&gt;22049.99,'AP 2'!$Q$38+'AP 2'!$Q$39&gt;22049.99),"BGSA darf nicht angewendet werden!",IF('AP 2'!$AG$3&lt;22049.99,'AP 2'!$Q$39+'AP 2'!$Q$38,'AP 2'!Q$39)))</f>
        <v>0</v>
      </c>
      <c r="I27" s="466"/>
    </row>
    <row r="28" spans="1:12" ht="15" customHeight="1" x14ac:dyDescent="0.2">
      <c r="A28" s="37">
        <f>'AP 2'!$C$8</f>
        <v>0</v>
      </c>
      <c r="B28" s="10">
        <f>'AP 2'!$C$9</f>
        <v>0</v>
      </c>
      <c r="C28" s="481">
        <f>'AP 2'!$F$6</f>
        <v>0</v>
      </c>
      <c r="D28" s="482"/>
      <c r="E28" s="139"/>
      <c r="F28" s="184">
        <f>IF('AP 2'!$Q$37=0,0,IF('AP 2'!$C$14&lt;'AP 2'!$C$21,'AP 2'!$C$21,'AP 2'!$C$14))</f>
        <v>0</v>
      </c>
      <c r="G28" s="15">
        <f>IF('AP 2'!$Q$37=0,0,IF('AP 2'!$C$15&gt;0,'AP 2'!$C$15,$H$21))</f>
        <v>0</v>
      </c>
      <c r="H28" s="467"/>
      <c r="I28" s="468"/>
      <c r="J28" s="170" t="str">
        <f>IF(AND(H27=0,C27=0),"",IF(H27=0,"Lohnausweis erstellen!!",""))</f>
        <v/>
      </c>
    </row>
    <row r="29" spans="1:12" ht="15" customHeight="1" x14ac:dyDescent="0.2">
      <c r="A29" s="38" t="str">
        <f>CONCATENATE('AP 3'!$C$6,$K$25,'AP 3'!$C$7)</f>
        <v xml:space="preserve">, </v>
      </c>
      <c r="B29" s="7"/>
      <c r="C29" s="14">
        <f>'AP 3'!$F$7</f>
        <v>0</v>
      </c>
      <c r="D29" s="185" t="str">
        <f>IF('AP 3'!$C$10="Bitte auswählen","",IF('AP 3'!$C$10="weiblich","w","m"))</f>
        <v/>
      </c>
      <c r="E29" s="40"/>
      <c r="F29" s="11"/>
      <c r="G29" s="14"/>
      <c r="H29" s="465">
        <f>IF(DATEDIF(C25,'AP 3'!$C$21,"Y")&lt;17,0,IF(OR('AP 3'!$U$2&gt;22049.99,'AP 3'!$Q$38+'AP 3'!$Q$39&gt;22049.99),"BGSA darf nicht angewendet werden!",IF('AP 3'!$AG$3&lt;22049.99,'AP 3'!$Q$39+'AP 3'!$Q$38,'AP 3'!Q$39)))</f>
        <v>0</v>
      </c>
      <c r="I29" s="466"/>
    </row>
    <row r="30" spans="1:12" ht="15" customHeight="1" x14ac:dyDescent="0.2">
      <c r="A30" s="37">
        <f>'AP 3'!$C$8</f>
        <v>0</v>
      </c>
      <c r="B30" s="10">
        <f>'AP 3'!$C$9</f>
        <v>0</v>
      </c>
      <c r="C30" s="481">
        <f>'AP 3'!$F$6</f>
        <v>0</v>
      </c>
      <c r="D30" s="482"/>
      <c r="E30" s="139"/>
      <c r="F30" s="184">
        <f>IF('AP 3'!$Q$37=0,0,IF('AP 3'!$C$14&lt;'AP 3'!$C$21,'AP 3'!$C$21,'AP 3'!$C$14))</f>
        <v>0</v>
      </c>
      <c r="G30" s="15">
        <f>IF('AP 3'!$Q$37=0,0,IF('AP 3'!$C$15&gt;0,'AP 3'!$C$15,$H$21))</f>
        <v>0</v>
      </c>
      <c r="H30" s="467"/>
      <c r="I30" s="468"/>
      <c r="J30" s="170" t="str">
        <f>IF(AND(H29=0,C29=0),"",IF(H29=0,"Lohnausweis erstellen!!",""))</f>
        <v/>
      </c>
    </row>
    <row r="31" spans="1:12" ht="15" customHeight="1" x14ac:dyDescent="0.2">
      <c r="A31" s="38" t="str">
        <f>CONCATENATE('AP 4'!$C$6,$K$25,'AP 4'!$C$7)</f>
        <v xml:space="preserve">, </v>
      </c>
      <c r="B31" s="7"/>
      <c r="C31" s="14">
        <f>'AP 4'!$F$7</f>
        <v>0</v>
      </c>
      <c r="D31" s="185" t="str">
        <f>IF('AP 4'!$C$10="Bitte auswählen","",IF('AP 4'!$C$10="weiblich","w","m"))</f>
        <v/>
      </c>
      <c r="E31" s="40"/>
      <c r="F31" s="11"/>
      <c r="G31" s="14"/>
      <c r="H31" s="465">
        <f>IF(DATEDIF(C25,'AP 4'!$C$21,"Y")&lt;17,0,IF(OR('AP 4'!$U$2&gt;22049.99,'AP 4'!$Q$38+'AP 4'!$Q$39&gt;22049.99),"BGSA darf nicht angewendet werden!",IF('AP 4'!$AG$3&lt;22049.99,'AP 4'!$Q$39+'AP 4'!$Q$38,'AP 4'!Q$39)))</f>
        <v>0</v>
      </c>
      <c r="I31" s="466"/>
    </row>
    <row r="32" spans="1:12" ht="15" customHeight="1" x14ac:dyDescent="0.2">
      <c r="A32" s="37">
        <f>'AP 4'!$C$8</f>
        <v>0</v>
      </c>
      <c r="B32" s="10">
        <f>'AP 4'!$C$9</f>
        <v>0</v>
      </c>
      <c r="C32" s="481">
        <f>'AP 4'!$F$6</f>
        <v>0</v>
      </c>
      <c r="D32" s="482"/>
      <c r="E32" s="139"/>
      <c r="F32" s="184">
        <f>IF('AP 4'!$Q$37=0,0,IF('AP 4'!$C$14&lt;'AP 4'!$C$21,'AP 4'!$C$21,'AP 4'!$C$14))</f>
        <v>0</v>
      </c>
      <c r="G32" s="15">
        <f>IF('AP 4'!$Q$37=0,0,IF('AP 4'!$C$15&gt;0,'AP 4'!$C$15,$H$21))</f>
        <v>0</v>
      </c>
      <c r="H32" s="467"/>
      <c r="I32" s="468"/>
      <c r="J32" s="170" t="str">
        <f>IF(AND(H31=0,C31=0),"",IF(H31=0,"Lohnausweis erstellen!!",""))</f>
        <v/>
      </c>
    </row>
    <row r="33" spans="1:10" ht="15" customHeight="1" x14ac:dyDescent="0.2">
      <c r="A33" s="38" t="str">
        <f>CONCATENATE('AP 5'!$C$6,$K$25,'AP 5'!$C$7)</f>
        <v xml:space="preserve">, </v>
      </c>
      <c r="B33" s="7"/>
      <c r="C33" s="14">
        <f>'AP 5'!$F$7</f>
        <v>0</v>
      </c>
      <c r="D33" s="185" t="str">
        <f>IF('AP 5'!$C$10="Bitte auswählen","",IF('AP 5'!$C$10="weiblich","w","m"))</f>
        <v/>
      </c>
      <c r="E33" s="40"/>
      <c r="F33" s="11"/>
      <c r="G33" s="14"/>
      <c r="H33" s="465">
        <f>IF(DATEDIF(C25,'AP 5'!$C$21,"Y")&lt;17,0,IF(OR('AP 5'!$U$2&gt;22049.99,'AP 5'!$Q$38+'AP 5'!$Q$39&gt;22049.99),"BGSA darf nicht angewendet werden!",IF('AP 5'!$AG$3&lt;22049.99,'AP 5'!$Q$39+'AP 5'!$Q$38,'AP 5'!Q$39)))</f>
        <v>0</v>
      </c>
      <c r="I33" s="466"/>
    </row>
    <row r="34" spans="1:10" ht="15" customHeight="1" x14ac:dyDescent="0.2">
      <c r="A34" s="37">
        <f>'AP 5'!$C$8</f>
        <v>0</v>
      </c>
      <c r="B34" s="10">
        <f>'AP 5'!$C$9</f>
        <v>0</v>
      </c>
      <c r="C34" s="481">
        <f>'AP 5'!$F$6</f>
        <v>0</v>
      </c>
      <c r="D34" s="482"/>
      <c r="E34" s="139"/>
      <c r="F34" s="184">
        <f>IF('AP 5'!$Q$37=0,0,IF('AP 5'!$C$14&lt;'AP 5'!$C$21,'AP 5'!$C$21,'AP 5'!$C$14))</f>
        <v>0</v>
      </c>
      <c r="G34" s="15">
        <f>IF('AP 5'!$Q$37=0,0,IF('AP 5'!$C$15&gt;0,'AP 5'!$C$15,$H$21))</f>
        <v>0</v>
      </c>
      <c r="H34" s="467"/>
      <c r="I34" s="468"/>
      <c r="J34" s="170" t="str">
        <f>IF(AND(H33=0,C33=0),"",IF(H33=0,"Lohnausweis erstellen!!",""))</f>
        <v/>
      </c>
    </row>
    <row r="35" spans="1:10" ht="15" customHeight="1" x14ac:dyDescent="0.2">
      <c r="A35" s="38" t="str">
        <f>CONCATENATE('AP 6'!$C$6,$K$25,'AP 6'!$C$7)</f>
        <v xml:space="preserve">, </v>
      </c>
      <c r="B35" s="7"/>
      <c r="C35" s="14">
        <f>'AP 6'!$F$7</f>
        <v>0</v>
      </c>
      <c r="D35" s="185" t="str">
        <f>IF('AP 6'!$C$10="Bitte auswählen","",IF('AP 6'!$C$10="weiblich","w","m"))</f>
        <v/>
      </c>
      <c r="E35" s="40"/>
      <c r="F35" s="11"/>
      <c r="G35" s="14"/>
      <c r="H35" s="465">
        <f>IF(DATEDIF(C25,'AP 6'!$C$21,"Y")&lt;17,0,IF(OR('AP 6'!$U$2&gt;22049.99,'AP 6'!$Q$38+'AP 6'!$Q$39&gt;22049.99),"BGSA darf nicht angewendet werden!",IF('AP 6'!$AG$3&lt;22049.99,'AP 6'!$Q$39+'AP 6'!$Q$38,'AP 6'!Q$39)))</f>
        <v>0</v>
      </c>
      <c r="I35" s="466"/>
    </row>
    <row r="36" spans="1:10" ht="15" customHeight="1" x14ac:dyDescent="0.2">
      <c r="A36" s="37">
        <f>'AP 6'!$C$8</f>
        <v>0</v>
      </c>
      <c r="B36" s="10">
        <f>'AP 6'!$C$9</f>
        <v>0</v>
      </c>
      <c r="C36" s="481">
        <f>'AP 6'!$F$6</f>
        <v>0</v>
      </c>
      <c r="D36" s="482"/>
      <c r="E36" s="139"/>
      <c r="F36" s="184">
        <f>IF('AP 6'!$Q$37=0,0,IF('AP 6'!$C$14&lt;'AP 6'!$C$21,'AP 6'!$C$21,'AP 6'!$C$14))</f>
        <v>0</v>
      </c>
      <c r="G36" s="15">
        <f>IF('AP 6'!$Q$37=0,0,IF('AP 6'!$C$15&gt;0,'AP 6'!$C$15,$H$21))</f>
        <v>0</v>
      </c>
      <c r="H36" s="467"/>
      <c r="I36" s="468"/>
      <c r="J36" s="170" t="str">
        <f>IF(AND(H35=0,C35=0),"",IF(H35=0,"Lohnausweis erstellen!!",""))</f>
        <v/>
      </c>
    </row>
    <row r="37" spans="1:10" ht="15" customHeight="1" x14ac:dyDescent="0.2">
      <c r="A37" s="38" t="str">
        <f>CONCATENATE('AP 7'!$C$6,$K$25,'AP 7'!$C$7)</f>
        <v xml:space="preserve">, </v>
      </c>
      <c r="B37" s="7"/>
      <c r="C37" s="14">
        <f>'AP 7'!$F$7</f>
        <v>0</v>
      </c>
      <c r="D37" s="185" t="str">
        <f>IF('AP 7'!$C$10="Bitte auswählen","",IF('AP 7'!$C$10="weiblich","w","m"))</f>
        <v/>
      </c>
      <c r="E37" s="40"/>
      <c r="F37" s="11"/>
      <c r="G37" s="14"/>
      <c r="H37" s="465">
        <f>IF(DATEDIF(C25,'AP 7'!$C$21,"Y")&lt;17,0,IF(OR('AP 7'!$U$2&gt;22049.99,'AP 7'!$Q$38+'AP 7'!$Q$39&gt;22049.99),"BGSA darf nicht angewendet werden!",IF('AP 7'!$AG$3&lt;22049.99,'AP 7'!$Q$39+'AP 7'!$Q$38,'AP 7'!Q$39)))</f>
        <v>0</v>
      </c>
      <c r="I37" s="466"/>
    </row>
    <row r="38" spans="1:10" ht="15" customHeight="1" x14ac:dyDescent="0.2">
      <c r="A38" s="37">
        <f>'AP 7'!$C$8</f>
        <v>0</v>
      </c>
      <c r="B38" s="10">
        <f>'AP 7'!$C$9</f>
        <v>0</v>
      </c>
      <c r="C38" s="481">
        <f>'AP 7'!$F$6</f>
        <v>0</v>
      </c>
      <c r="D38" s="482"/>
      <c r="E38" s="139"/>
      <c r="F38" s="184">
        <f>IF('AP 7'!$Q$37=0,0,IF('AP 7'!$C$14&lt;'AP 7'!$C$21,'AP 7'!$C$21,'AP 7'!$C$14))</f>
        <v>0</v>
      </c>
      <c r="G38" s="15">
        <f>IF('AP 7'!$Q$37=0,0,IF('AP 7'!$C$15&gt;0,'AP 7'!$C$15,$H$21))</f>
        <v>0</v>
      </c>
      <c r="H38" s="467"/>
      <c r="I38" s="468"/>
      <c r="J38" s="170" t="str">
        <f>IF(AND(H37=0,C37=0),"",IF(H37=0,"Lohnausweis erstellen!!",""))</f>
        <v/>
      </c>
    </row>
    <row r="39" spans="1:10" ht="15" customHeight="1" x14ac:dyDescent="0.2">
      <c r="A39" s="38" t="str">
        <f>CONCATENATE('AP 8'!$C$6,$K$25,'AP 8'!$C$7)</f>
        <v xml:space="preserve">, </v>
      </c>
      <c r="B39" s="7"/>
      <c r="C39" s="14">
        <f>'AP 8'!$F$7</f>
        <v>0</v>
      </c>
      <c r="D39" s="185" t="str">
        <f>IF('AP 8'!$C$10="Bitte auswählen","",IF('AP 8'!$C$10="weiblich","w","m"))</f>
        <v/>
      </c>
      <c r="E39" s="40"/>
      <c r="F39" s="11"/>
      <c r="G39" s="14"/>
      <c r="H39" s="465">
        <f>IF(DATEDIF(C25,'AP 8'!$C$21,"Y")&lt;17,0,IF(OR('AP 8'!$U$2&gt;22049.99,'AP 8'!$Q$38+'AP 8'!$Q$39&gt;22049.99),"BGSA darf nicht angewendet werden!",IF('AP 8'!$AG$3&lt;22049.99,'AP 8'!$Q$39+'AP 8'!$Q$38,'AP 8'!Q$39)))</f>
        <v>0</v>
      </c>
      <c r="I39" s="466"/>
    </row>
    <row r="40" spans="1:10" ht="15" customHeight="1" x14ac:dyDescent="0.2">
      <c r="A40" s="37">
        <f>'AP 8'!$C$8</f>
        <v>0</v>
      </c>
      <c r="B40" s="10">
        <f>'AP 8'!$C$9</f>
        <v>0</v>
      </c>
      <c r="C40" s="481">
        <f>'AP 8'!$F$6</f>
        <v>0</v>
      </c>
      <c r="D40" s="482"/>
      <c r="E40" s="139"/>
      <c r="F40" s="184">
        <f>IF('AP 8'!$Q$37=0,0,IF('AP 8'!$C$14&lt;'AP 8'!$C$21,'AP 8'!$C$21,'AP 8'!$C$14))</f>
        <v>0</v>
      </c>
      <c r="G40" s="15">
        <f>IF('AP 8'!$Q$37=0,0,IF('AP 8'!$C$15&gt;0,'AP 8'!$C$15,$H$21))</f>
        <v>0</v>
      </c>
      <c r="H40" s="467"/>
      <c r="I40" s="468"/>
      <c r="J40" s="170" t="str">
        <f>IF(AND(H39=0,C39=0),"",IF(H39=0,"Lohnausweis erstellen!!",""))</f>
        <v/>
      </c>
    </row>
    <row r="41" spans="1:10" ht="15" customHeight="1" x14ac:dyDescent="0.2">
      <c r="A41" s="38" t="str">
        <f>CONCATENATE('AP 9'!$C$6,$K$25,'AP 9'!$C$7)</f>
        <v xml:space="preserve">, </v>
      </c>
      <c r="B41" s="7"/>
      <c r="C41" s="14">
        <f>'AP 9'!$F$7</f>
        <v>0</v>
      </c>
      <c r="D41" s="185" t="str">
        <f>IF('AP 9'!$C$10="Bitte auswählen","",IF('AP 9'!$C$10="weiblich","w","m"))</f>
        <v/>
      </c>
      <c r="E41" s="40"/>
      <c r="F41" s="11"/>
      <c r="G41" s="14"/>
      <c r="H41" s="465">
        <f>IF(DATEDIF(C25,'AP 9'!$C$21,"Y")&lt;17,0,IF(OR('AP 9'!$U$2&gt;22049.99,'AP 9'!$Q$38+'AP 9'!$Q$39&gt;22049.99),"BGSA darf nicht angewendet werden!",IF('AP 9'!$AG$3&lt;22049.99,'AP 9'!$Q$39+'AP 9'!$Q$38,'AP 9'!Q$39)))</f>
        <v>0</v>
      </c>
      <c r="I41" s="466"/>
    </row>
    <row r="42" spans="1:10" ht="15" customHeight="1" x14ac:dyDescent="0.2">
      <c r="A42" s="37">
        <f>'AP 9'!$C$8</f>
        <v>0</v>
      </c>
      <c r="B42" s="10">
        <f>'AP 9'!$C$9</f>
        <v>0</v>
      </c>
      <c r="C42" s="481">
        <f>'AP 9'!$F$6</f>
        <v>0</v>
      </c>
      <c r="D42" s="482"/>
      <c r="E42" s="139"/>
      <c r="F42" s="184">
        <f>IF('AP 9'!$Q$37=0,0,IF('AP 9'!$C$14&lt;'AP 9'!$C$21,'AP 9'!$C$21,'AP 9'!$C$14))</f>
        <v>0</v>
      </c>
      <c r="G42" s="15">
        <f>IF('AP 9'!$Q$37=0,0,IF('AP 9'!$C$15&gt;0,'AP 9'!$C$15,$H$21))</f>
        <v>0</v>
      </c>
      <c r="H42" s="467"/>
      <c r="I42" s="468"/>
      <c r="J42" s="170" t="str">
        <f>IF(AND(H41=0,C41=0),"",IF(H41=0,"Lohnausweis erstellen!!",""))</f>
        <v/>
      </c>
    </row>
    <row r="43" spans="1:10" ht="27" customHeight="1" thickBot="1" x14ac:dyDescent="0.25">
      <c r="A43" s="21"/>
      <c r="B43" s="21"/>
      <c r="C43" s="22"/>
      <c r="D43" s="22"/>
      <c r="E43" s="22"/>
      <c r="F43" s="22"/>
      <c r="G43" s="23" t="s">
        <v>120</v>
      </c>
      <c r="H43" s="469">
        <f>IF(SUM(H25:I42)&lt;58800,SUM(H25:I42),"BGSA darf nicht angewendet werden!")</f>
        <v>0</v>
      </c>
      <c r="I43" s="470"/>
    </row>
    <row r="44" spans="1:10" ht="15" customHeight="1" thickTop="1" x14ac:dyDescent="0.2"/>
    <row r="45" spans="1:10" ht="15" customHeight="1" x14ac:dyDescent="0.2">
      <c r="A45" s="27" t="s">
        <v>180</v>
      </c>
      <c r="B45" s="28"/>
      <c r="C45" s="26"/>
      <c r="D45" s="164"/>
      <c r="F45" s="497" t="s">
        <v>181</v>
      </c>
      <c r="G45" s="497"/>
      <c r="H45" s="497"/>
      <c r="I45" s="497"/>
    </row>
    <row r="46" spans="1:10" ht="15" customHeight="1" x14ac:dyDescent="0.2">
      <c r="A46" s="498"/>
      <c r="B46" s="499"/>
      <c r="C46" s="499"/>
      <c r="D46" s="500"/>
      <c r="E46" s="32"/>
      <c r="F46" s="497"/>
      <c r="G46" s="497"/>
      <c r="H46" s="497"/>
      <c r="I46" s="497"/>
    </row>
    <row r="47" spans="1:10" ht="15" customHeight="1" x14ac:dyDescent="0.2">
      <c r="A47" s="29" t="s">
        <v>182</v>
      </c>
      <c r="B47" s="2"/>
      <c r="D47" s="146"/>
      <c r="E47" s="187"/>
      <c r="F47" s="497"/>
      <c r="G47" s="497"/>
      <c r="H47" s="497"/>
      <c r="I47" s="497"/>
    </row>
    <row r="48" spans="1:10" x14ac:dyDescent="0.2">
      <c r="A48" s="29" t="s">
        <v>183</v>
      </c>
      <c r="B48" s="2"/>
      <c r="D48" s="146"/>
      <c r="E48" s="187"/>
      <c r="F48" s="497"/>
      <c r="G48" s="497"/>
      <c r="H48" s="497"/>
      <c r="I48" s="497"/>
    </row>
    <row r="49" spans="1:9" x14ac:dyDescent="0.2">
      <c r="A49" s="30" t="s">
        <v>184</v>
      </c>
      <c r="B49" s="31"/>
      <c r="C49" s="3"/>
      <c r="D49" s="180"/>
      <c r="E49" s="187"/>
      <c r="F49" s="497"/>
      <c r="G49" s="497"/>
      <c r="H49" s="497"/>
      <c r="I49" s="497"/>
    </row>
    <row r="50" spans="1:9" ht="15" customHeight="1" x14ac:dyDescent="0.2">
      <c r="A50" s="32" t="s">
        <v>185</v>
      </c>
      <c r="B50" s="2"/>
      <c r="D50" s="146"/>
      <c r="E50" s="187"/>
      <c r="F50" s="497"/>
      <c r="G50" s="497"/>
      <c r="H50" s="497"/>
      <c r="I50" s="497"/>
    </row>
    <row r="51" spans="1:9" ht="15" customHeight="1" x14ac:dyDescent="0.2">
      <c r="A51" s="501"/>
      <c r="B51" s="502"/>
      <c r="C51" s="502"/>
      <c r="D51" s="503"/>
      <c r="E51" s="188"/>
      <c r="F51" s="497"/>
      <c r="G51" s="497"/>
      <c r="H51" s="497"/>
      <c r="I51" s="497"/>
    </row>
    <row r="52" spans="1:9" ht="15" customHeight="1" x14ac:dyDescent="0.2">
      <c r="A52" s="410"/>
      <c r="B52" s="411"/>
      <c r="C52" s="411"/>
      <c r="D52" s="412"/>
      <c r="E52" s="188"/>
      <c r="F52" s="497"/>
      <c r="G52" s="497"/>
      <c r="H52" s="497"/>
      <c r="I52" s="497"/>
    </row>
    <row r="53" spans="1:9" ht="15" customHeight="1" x14ac:dyDescent="0.2">
      <c r="A53" s="410"/>
      <c r="B53" s="411"/>
      <c r="C53" s="411"/>
      <c r="D53" s="412"/>
      <c r="E53" s="188"/>
      <c r="G53" s="33"/>
      <c r="H53" s="33"/>
      <c r="I53" s="33"/>
    </row>
    <row r="54" spans="1:9" x14ac:dyDescent="0.2">
      <c r="A54" s="501"/>
      <c r="B54" s="502"/>
      <c r="C54" s="502"/>
      <c r="D54" s="503"/>
      <c r="E54" s="188"/>
      <c r="F54" s="3"/>
      <c r="G54" s="3"/>
      <c r="H54" s="3"/>
      <c r="I54" s="3"/>
    </row>
    <row r="55" spans="1:9" x14ac:dyDescent="0.2">
      <c r="A55" s="494"/>
      <c r="B55" s="495"/>
      <c r="C55" s="495"/>
      <c r="D55" s="496"/>
      <c r="E55" s="188"/>
      <c r="F55" s="4" t="s">
        <v>186</v>
      </c>
      <c r="I55" s="181" t="s">
        <v>187</v>
      </c>
    </row>
  </sheetData>
  <sheetProtection algorithmName="SHA-512" hashValue="n/Ri3Urea/H7IJ0adE6Nk4wmO7xazCgHlftacJdnO08mdab68GCkvYgHupfy72FrEBxL76mCs8QxuESxrztcUw==" saltValue="Av6cL/FBE1cQBXWSj3EGbw==" spinCount="100000" sheet="1" objects="1" scenarios="1"/>
  <mergeCells count="44">
    <mergeCell ref="A55:D55"/>
    <mergeCell ref="A14:B14"/>
    <mergeCell ref="F45:I52"/>
    <mergeCell ref="A46:D46"/>
    <mergeCell ref="A51:D51"/>
    <mergeCell ref="A54:D54"/>
    <mergeCell ref="C40:D40"/>
    <mergeCell ref="C42:D42"/>
    <mergeCell ref="C32:D32"/>
    <mergeCell ref="C34:D34"/>
    <mergeCell ref="C36:D36"/>
    <mergeCell ref="C38:D38"/>
    <mergeCell ref="C30:D30"/>
    <mergeCell ref="F14:I14"/>
    <mergeCell ref="F15:I15"/>
    <mergeCell ref="H33:I34"/>
    <mergeCell ref="C28:D28"/>
    <mergeCell ref="F16:I16"/>
    <mergeCell ref="F22:G22"/>
    <mergeCell ref="H22:I24"/>
    <mergeCell ref="H21:I21"/>
    <mergeCell ref="A12:B12"/>
    <mergeCell ref="A13:B13"/>
    <mergeCell ref="L16:L17"/>
    <mergeCell ref="A18:I20"/>
    <mergeCell ref="C26:D26"/>
    <mergeCell ref="A1:C3"/>
    <mergeCell ref="A8:B8"/>
    <mergeCell ref="A9:B9"/>
    <mergeCell ref="A10:B10"/>
    <mergeCell ref="A11:B11"/>
    <mergeCell ref="H29:I30"/>
    <mergeCell ref="H27:I28"/>
    <mergeCell ref="H25:I26"/>
    <mergeCell ref="H35:I36"/>
    <mergeCell ref="F1:I4"/>
    <mergeCell ref="H7:I7"/>
    <mergeCell ref="H6:I6"/>
    <mergeCell ref="F13:I13"/>
    <mergeCell ref="H37:I38"/>
    <mergeCell ref="H43:I43"/>
    <mergeCell ref="H41:I42"/>
    <mergeCell ref="H39:I40"/>
    <mergeCell ref="H31:I32"/>
  </mergeCells>
  <phoneticPr fontId="0" type="noConversion"/>
  <conditionalFormatting sqref="A9:A14">
    <cfRule type="expression" dxfId="17" priority="17">
      <formula>A9&gt;0</formula>
    </cfRule>
  </conditionalFormatting>
  <conditionalFormatting sqref="A46 E46">
    <cfRule type="expression" dxfId="16" priority="79">
      <formula>$A$46&gt;0</formula>
    </cfRule>
  </conditionalFormatting>
  <conditionalFormatting sqref="A51:A55 E51:E55">
    <cfRule type="expression" dxfId="15" priority="78">
      <formula>$A$51&gt;0</formula>
    </cfRule>
  </conditionalFormatting>
  <conditionalFormatting sqref="A8:B8">
    <cfRule type="expression" dxfId="14" priority="73">
      <formula>A8&gt;0</formula>
    </cfRule>
  </conditionalFormatting>
  <conditionalFormatting sqref="A18:I20">
    <cfRule type="beginsWith" dxfId="13" priority="33" operator="beginsWith" text="Es muss ">
      <formula>LEFT(A18,LEN("Es muss "))="Es muss "</formula>
    </cfRule>
  </conditionalFormatting>
  <conditionalFormatting sqref="F13:F16">
    <cfRule type="expression" dxfId="12" priority="10">
      <formula>F13&gt;0</formula>
    </cfRule>
  </conditionalFormatting>
  <conditionalFormatting sqref="G7">
    <cfRule type="expression" dxfId="11" priority="69">
      <formula>G7&gt;0</formula>
    </cfRule>
  </conditionalFormatting>
  <conditionalFormatting sqref="H6">
    <cfRule type="expression" dxfId="10" priority="68">
      <formula>H6&gt;0</formula>
    </cfRule>
  </conditionalFormatting>
  <conditionalFormatting sqref="H25">
    <cfRule type="expression" dxfId="9" priority="44">
      <formula>H25&gt;21330</formula>
    </cfRule>
  </conditionalFormatting>
  <conditionalFormatting sqref="H27">
    <cfRule type="expression" dxfId="8" priority="8">
      <formula>H27&gt;21330</formula>
    </cfRule>
  </conditionalFormatting>
  <conditionalFormatting sqref="H29">
    <cfRule type="expression" dxfId="7" priority="7">
      <formula>H29&gt;21330</formula>
    </cfRule>
  </conditionalFormatting>
  <conditionalFormatting sqref="H31">
    <cfRule type="expression" dxfId="6" priority="6">
      <formula>H31&gt;21330</formula>
    </cfRule>
  </conditionalFormatting>
  <conditionalFormatting sqref="H33">
    <cfRule type="expression" dxfId="5" priority="5">
      <formula>H33&gt;21330</formula>
    </cfRule>
  </conditionalFormatting>
  <conditionalFormatting sqref="H35">
    <cfRule type="expression" dxfId="4" priority="4">
      <formula>H35&gt;21330</formula>
    </cfRule>
  </conditionalFormatting>
  <conditionalFormatting sqref="H37">
    <cfRule type="expression" dxfId="3" priority="3">
      <formula>H37&gt;21330</formula>
    </cfRule>
  </conditionalFormatting>
  <conditionalFormatting sqref="H39">
    <cfRule type="expression" dxfId="2" priority="2">
      <formula>H39&gt;21330</formula>
    </cfRule>
  </conditionalFormatting>
  <conditionalFormatting sqref="H41">
    <cfRule type="expression" dxfId="1" priority="1">
      <formula>H41&gt;21330</formula>
    </cfRule>
  </conditionalFormatting>
  <conditionalFormatting sqref="H43">
    <cfRule type="beginsWith" dxfId="0" priority="32" operator="beginsWith" text="BGSA">
      <formula>LEFT(H43,LEN("BGSA"))="BGSA"</formula>
    </cfRule>
  </conditionalFormatting>
  <hyperlinks>
    <hyperlink ref="L20" location="'Lohnbescheinigung (ordentlich)'!Druckbereich" display="Ordentliche AHV Lohnbescheinigung" xr:uid="{00000000-0004-0000-0A00-000000000000}"/>
    <hyperlink ref="A18:I20" location="'AHV Formular (ordentlich)'!A1" display="'AHV Formular (ordentlich)'!A1" xr:uid="{00000000-0004-0000-0A00-000001000000}"/>
  </hyperlinks>
  <pageMargins left="0.23622047244094491" right="0.23622047244094491" top="0.39370078740157483" bottom="0.39370078740157483" header="0.31496062992125984" footer="0.31496062992125984"/>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9525</xdr:colOff>
                    <xdr:row>46</xdr:row>
                    <xdr:rowOff>28575</xdr:rowOff>
                  </from>
                  <to>
                    <xdr:col>0</xdr:col>
                    <xdr:colOff>190500</xdr:colOff>
                    <xdr:row>47</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0</xdr:col>
                    <xdr:colOff>9525</xdr:colOff>
                    <xdr:row>46</xdr:row>
                    <xdr:rowOff>180975</xdr:rowOff>
                  </from>
                  <to>
                    <xdr:col>0</xdr:col>
                    <xdr:colOff>285750</xdr:colOff>
                    <xdr:row>47</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pageSetUpPr fitToPage="1"/>
  </sheetPr>
  <dimension ref="A1:N58"/>
  <sheetViews>
    <sheetView showGridLines="0" showZeros="0" showOutlineSymbols="0" zoomScaleNormal="100" workbookViewId="0">
      <selection activeCell="B41" sqref="B41"/>
    </sheetView>
  </sheetViews>
  <sheetFormatPr baseColWidth="10" defaultColWidth="11.42578125" defaultRowHeight="12.75" x14ac:dyDescent="0.2"/>
  <cols>
    <col min="1" max="1" width="12.7109375" style="1" customWidth="1"/>
    <col min="2" max="2" width="10.7109375" style="1" customWidth="1"/>
    <col min="3" max="3" width="11" style="1" customWidth="1"/>
    <col min="4" max="4" width="6.7109375" style="1" customWidth="1"/>
    <col min="5" max="6" width="8.7109375" style="1" customWidth="1"/>
    <col min="7" max="7" width="11.7109375" style="1" customWidth="1"/>
    <col min="8" max="8" width="12.7109375" style="1" customWidth="1" collapsed="1"/>
    <col min="9" max="10" width="12.7109375" style="1" customWidth="1"/>
    <col min="11" max="11" width="11.42578125" style="1"/>
    <col min="12" max="12" width="0" style="1" hidden="1" customWidth="1"/>
    <col min="13" max="13" width="47.7109375" style="1" customWidth="1"/>
    <col min="14" max="16384" width="11.42578125" style="1"/>
  </cols>
  <sheetData>
    <row r="1" spans="1:13" ht="12.75" customHeight="1" x14ac:dyDescent="0.2">
      <c r="A1" s="477"/>
      <c r="B1" s="477"/>
      <c r="C1" s="477"/>
      <c r="D1" s="161"/>
      <c r="E1" s="163"/>
      <c r="G1" s="531" t="s">
        <v>188</v>
      </c>
      <c r="H1" s="531"/>
      <c r="I1" s="531"/>
      <c r="J1" s="531"/>
    </row>
    <row r="2" spans="1:13" ht="12.75" customHeight="1" thickBot="1" x14ac:dyDescent="0.25">
      <c r="A2" s="477"/>
      <c r="B2" s="477"/>
      <c r="C2" s="477"/>
      <c r="D2" s="161"/>
      <c r="E2" s="163"/>
      <c r="G2" s="531"/>
      <c r="H2" s="531"/>
      <c r="I2" s="531"/>
      <c r="J2" s="531"/>
    </row>
    <row r="3" spans="1:13" ht="12.75" customHeight="1" x14ac:dyDescent="0.2">
      <c r="A3" s="477"/>
      <c r="B3" s="477"/>
      <c r="C3" s="477"/>
      <c r="D3" s="161"/>
      <c r="E3" s="163"/>
      <c r="G3" s="531"/>
      <c r="H3" s="531"/>
      <c r="I3" s="531"/>
      <c r="J3" s="531"/>
      <c r="M3" s="168" t="s">
        <v>163</v>
      </c>
    </row>
    <row r="4" spans="1:13" ht="15" customHeight="1" x14ac:dyDescent="0.25">
      <c r="A4" s="163"/>
      <c r="B4" s="151"/>
      <c r="C4" s="151"/>
      <c r="D4" s="151"/>
      <c r="E4" s="152"/>
      <c r="G4" s="163"/>
      <c r="H4" s="163"/>
      <c r="I4" s="163"/>
      <c r="J4" s="163"/>
      <c r="M4" s="530" t="s">
        <v>189</v>
      </c>
    </row>
    <row r="5" spans="1:13" x14ac:dyDescent="0.2">
      <c r="A5" s="24"/>
      <c r="G5" s="35" t="s">
        <v>149</v>
      </c>
      <c r="H5" s="91"/>
      <c r="I5" s="532">
        <f ca="1">TODAY()</f>
        <v>45282</v>
      </c>
      <c r="J5" s="533"/>
      <c r="M5" s="530"/>
    </row>
    <row r="6" spans="1:13" ht="13.5" thickBot="1" x14ac:dyDescent="0.25">
      <c r="G6" s="36" t="s">
        <v>151</v>
      </c>
      <c r="H6" s="4"/>
      <c r="I6" s="534"/>
      <c r="J6" s="535"/>
      <c r="M6" s="250"/>
    </row>
    <row r="7" spans="1:13" x14ac:dyDescent="0.2">
      <c r="A7" s="529" t="s">
        <v>190</v>
      </c>
      <c r="B7" s="529"/>
      <c r="C7" s="529"/>
      <c r="D7" s="529"/>
      <c r="G7" s="89" t="s">
        <v>154</v>
      </c>
      <c r="H7" s="92"/>
      <c r="I7" s="140"/>
      <c r="J7" s="90"/>
    </row>
    <row r="8" spans="1:13" x14ac:dyDescent="0.2">
      <c r="A8" s="472"/>
      <c r="B8" s="472"/>
      <c r="C8" s="472"/>
      <c r="D8" s="472"/>
    </row>
    <row r="9" spans="1:13" x14ac:dyDescent="0.2">
      <c r="A9" s="472"/>
      <c r="B9" s="472"/>
      <c r="C9" s="472"/>
      <c r="D9" s="472"/>
      <c r="G9" s="5" t="s">
        <v>157</v>
      </c>
      <c r="H9" s="5"/>
    </row>
    <row r="10" spans="1:13" x14ac:dyDescent="0.2">
      <c r="A10" s="472"/>
      <c r="B10" s="472"/>
      <c r="C10" s="472"/>
      <c r="D10" s="472"/>
    </row>
    <row r="11" spans="1:13" x14ac:dyDescent="0.2">
      <c r="A11" s="472"/>
      <c r="B11" s="472"/>
      <c r="C11" s="472"/>
      <c r="D11" s="472"/>
      <c r="F11" s="146"/>
      <c r="G11" s="35" t="s">
        <v>160</v>
      </c>
      <c r="H11" s="91"/>
      <c r="I11" s="26"/>
      <c r="J11" s="164"/>
    </row>
    <row r="12" spans="1:13" x14ac:dyDescent="0.2">
      <c r="A12" s="472"/>
      <c r="B12" s="472"/>
      <c r="C12" s="472"/>
      <c r="D12" s="472"/>
      <c r="F12" s="146"/>
      <c r="G12" s="476"/>
      <c r="H12" s="472"/>
      <c r="I12" s="472"/>
      <c r="J12" s="473"/>
    </row>
    <row r="13" spans="1:13" x14ac:dyDescent="0.2">
      <c r="A13" s="472"/>
      <c r="B13" s="472"/>
      <c r="C13" s="472"/>
      <c r="D13" s="472"/>
      <c r="F13" s="146"/>
      <c r="G13" s="476"/>
      <c r="H13" s="472"/>
      <c r="I13" s="472"/>
      <c r="J13" s="473"/>
    </row>
    <row r="14" spans="1:13" ht="12.75" customHeight="1" x14ac:dyDescent="0.2">
      <c r="A14" s="24"/>
      <c r="F14" s="146"/>
      <c r="G14" s="476"/>
      <c r="H14" s="472"/>
      <c r="I14" s="472"/>
      <c r="J14" s="473"/>
    </row>
    <row r="15" spans="1:13" x14ac:dyDescent="0.2">
      <c r="A15" s="24"/>
      <c r="F15" s="146"/>
      <c r="G15" s="483"/>
      <c r="H15" s="484"/>
      <c r="I15" s="484"/>
      <c r="J15" s="485"/>
    </row>
    <row r="16" spans="1:13" x14ac:dyDescent="0.2">
      <c r="A16" s="24"/>
    </row>
    <row r="17" spans="1:14" x14ac:dyDescent="0.2">
      <c r="A17" s="24"/>
      <c r="G17" s="512">
        <f>'AP 1'!A21</f>
        <v>45657</v>
      </c>
      <c r="H17" s="512"/>
      <c r="I17" s="111"/>
    </row>
    <row r="18" spans="1:14" x14ac:dyDescent="0.2">
      <c r="A18" s="3"/>
      <c r="B18" s="3"/>
      <c r="C18" s="3"/>
      <c r="D18" s="3"/>
      <c r="E18" s="3"/>
      <c r="F18" s="50"/>
      <c r="G18" s="50"/>
      <c r="I18" s="111"/>
      <c r="J18" s="111"/>
    </row>
    <row r="19" spans="1:14" s="165" customFormat="1" ht="33" customHeight="1" x14ac:dyDescent="0.2">
      <c r="A19" s="113"/>
      <c r="B19" s="114"/>
      <c r="C19" s="130"/>
      <c r="D19" s="131"/>
      <c r="E19" s="504" t="s">
        <v>170</v>
      </c>
      <c r="F19" s="505"/>
      <c r="G19" s="513" t="s">
        <v>191</v>
      </c>
      <c r="H19" s="516" t="s">
        <v>192</v>
      </c>
      <c r="I19" s="506" t="s">
        <v>193</v>
      </c>
      <c r="J19" s="509" t="s">
        <v>194</v>
      </c>
      <c r="M19" s="1"/>
    </row>
    <row r="20" spans="1:14" s="165" customFormat="1" ht="12.75" customHeight="1" x14ac:dyDescent="0.2">
      <c r="A20" s="115" t="s">
        <v>195</v>
      </c>
      <c r="B20" s="116"/>
      <c r="C20" s="127" t="s">
        <v>172</v>
      </c>
      <c r="D20" s="132"/>
      <c r="E20" s="117" t="s">
        <v>173</v>
      </c>
      <c r="F20" s="117" t="s">
        <v>174</v>
      </c>
      <c r="G20" s="514"/>
      <c r="H20" s="517"/>
      <c r="I20" s="507"/>
      <c r="J20" s="510"/>
      <c r="M20" s="1"/>
    </row>
    <row r="21" spans="1:14" s="165" customFormat="1" x14ac:dyDescent="0.2">
      <c r="A21" s="118"/>
      <c r="B21" s="136"/>
      <c r="C21" s="119" t="s">
        <v>176</v>
      </c>
      <c r="D21" s="133"/>
      <c r="E21" s="119" t="s">
        <v>177</v>
      </c>
      <c r="F21" s="119" t="s">
        <v>178</v>
      </c>
      <c r="G21" s="515"/>
      <c r="H21" s="518"/>
      <c r="I21" s="508"/>
      <c r="J21" s="511"/>
      <c r="M21" s="1"/>
    </row>
    <row r="22" spans="1:14" ht="15" customHeight="1" x14ac:dyDescent="0.2">
      <c r="A22" s="38"/>
      <c r="B22" s="7"/>
      <c r="C22" s="14">
        <f>'AP 1'!$F$7</f>
        <v>0</v>
      </c>
      <c r="D22" s="11" t="str">
        <f>IF('AP 1'!$C$10="Bitte auswählen","",IF('AP 1'!$C$10="weiblich","w","m"))</f>
        <v/>
      </c>
      <c r="E22" s="137"/>
      <c r="F22" s="138"/>
      <c r="G22" s="14"/>
      <c r="H22" s="120"/>
      <c r="I22" s="124"/>
      <c r="J22" s="93"/>
      <c r="L22" s="1" t="s">
        <v>179</v>
      </c>
      <c r="N22" s="249"/>
    </row>
    <row r="23" spans="1:14" ht="15" customHeight="1" x14ac:dyDescent="0.2">
      <c r="A23" s="37" t="str">
        <f>CONCATENATE('AP 1'!$C$6,$L$22,'AP 1'!$C$7)</f>
        <v xml:space="preserve">, </v>
      </c>
      <c r="B23" s="10"/>
      <c r="C23" s="129">
        <f>'AP 1'!$F$6</f>
        <v>0</v>
      </c>
      <c r="D23" s="139"/>
      <c r="E23" s="166">
        <f>IF('AP 1'!$Q$37=0,0,IF('AP 1'!$C$14&lt;'AP 1'!$C$21,'AP 1'!$C$21,'AP 1'!$C$14))</f>
        <v>0</v>
      </c>
      <c r="F23" s="166">
        <f>IF('AP 1'!$Q$37=0,0,IF('AP 1'!$C$15&gt;0,'AP 1'!$C$15,$G$17))</f>
        <v>0</v>
      </c>
      <c r="G23" s="167">
        <f>IF(DATEDIF(C22,'AP 1'!$C$21,"Y")&lt;17,0,'AP 1'!$Q$39)</f>
        <v>0</v>
      </c>
      <c r="H23" s="121">
        <f>IF(DATEDIF(C22,'AP 1'!$C$21,"Y")&lt;17,0,IF(DATEDIF(C22,$G$17,"Y")&gt;(IF(D22="w",64,65)),0,'AP 1'!$AK$43))</f>
        <v>0</v>
      </c>
      <c r="I23" s="125">
        <f>G23</f>
        <v>0</v>
      </c>
      <c r="J23" s="94">
        <f>'AP 1'!$Q$36</f>
        <v>0</v>
      </c>
    </row>
    <row r="24" spans="1:14" ht="15" customHeight="1" x14ac:dyDescent="0.2">
      <c r="A24" s="38"/>
      <c r="B24" s="7"/>
      <c r="C24" s="14">
        <f>'AP 2'!$F$7</f>
        <v>0</v>
      </c>
      <c r="D24" s="11" t="str">
        <f>IF('AP 2'!$C$10="Bitte auswählen","",IF('AP 2'!$C$10="weiblich","w","m"))</f>
        <v/>
      </c>
      <c r="E24" s="137"/>
      <c r="F24" s="138"/>
      <c r="G24" s="14"/>
      <c r="H24" s="120"/>
      <c r="I24" s="124"/>
      <c r="J24" s="93"/>
    </row>
    <row r="25" spans="1:14" ht="15" customHeight="1" x14ac:dyDescent="0.2">
      <c r="A25" s="37" t="str">
        <f>CONCATENATE('AP 2'!$C$6,$L$22,'AP 2'!$C$7)</f>
        <v xml:space="preserve">, </v>
      </c>
      <c r="B25" s="10"/>
      <c r="C25" s="129">
        <f>'AP 2'!$F$6</f>
        <v>0</v>
      </c>
      <c r="D25" s="139"/>
      <c r="E25" s="166">
        <f>IF('AP 2'!$Q$37=0,0,IF('AP 2'!$C$14&lt;'AP 2'!$C$21,'AP 2'!$C$21,'AP 2'!$C$14))</f>
        <v>0</v>
      </c>
      <c r="F25" s="166">
        <f>IF('AP 2'!$Q$37=0,0,IF('AP 2'!$C$15&gt;0,'AP 2'!$C$15,$G$17))</f>
        <v>0</v>
      </c>
      <c r="G25" s="167">
        <f>IF(DATEDIF(C24,'AP 2'!$C$21,"Y")&lt;17,0,'AP 2'!$Q$39)</f>
        <v>0</v>
      </c>
      <c r="H25" s="121">
        <f>IF(DATEDIF(C24,'AP 2'!$C$21,"Y")&lt;17,0,IF(DATEDIF(C24,$G$17,"Y")&gt;(IF(D24="w",64,65)),0,'AP 2'!$AK$43))</f>
        <v>0</v>
      </c>
      <c r="I25" s="125">
        <f>G25</f>
        <v>0</v>
      </c>
      <c r="J25" s="94">
        <f>'AP 2'!$Q$36</f>
        <v>0</v>
      </c>
    </row>
    <row r="26" spans="1:14" ht="15" customHeight="1" x14ac:dyDescent="0.2">
      <c r="A26" s="38"/>
      <c r="B26" s="7"/>
      <c r="C26" s="14">
        <f>'AP 3'!$F$7</f>
        <v>0</v>
      </c>
      <c r="D26" s="11" t="str">
        <f>IF('AP 3'!$C$10="Bitte auswählen","",IF('AP 3'!$C$10="weiblich","w","m"))</f>
        <v/>
      </c>
      <c r="E26" s="137"/>
      <c r="F26" s="138"/>
      <c r="G26" s="14"/>
      <c r="H26" s="120"/>
      <c r="I26" s="124"/>
      <c r="J26" s="93"/>
    </row>
    <row r="27" spans="1:14" ht="15" customHeight="1" x14ac:dyDescent="0.2">
      <c r="A27" s="37" t="str">
        <f>CONCATENATE('AP 3'!$C$6,$L$22,'AP 3'!$C$7)</f>
        <v xml:space="preserve">, </v>
      </c>
      <c r="B27" s="10"/>
      <c r="C27" s="129">
        <f>'AP 3'!$F$6</f>
        <v>0</v>
      </c>
      <c r="D27" s="139"/>
      <c r="E27" s="166">
        <f>IF('AP 3'!$Q$37=0,0,IF('AP 3'!$C$14&lt;'AP 3'!$C$21,'AP 3'!$C$21,'AP 3'!$C$14))</f>
        <v>0</v>
      </c>
      <c r="F27" s="166">
        <f>IF('AP 3'!$Q$37=0,0,IF('AP 3'!$C$15&gt;0,'AP 3'!$C$15,$G$17))</f>
        <v>0</v>
      </c>
      <c r="G27" s="167">
        <f>IF(DATEDIF(C26,'AP 3'!$C$21,"Y")&lt;17,0,'AP 3'!$Q$39)</f>
        <v>0</v>
      </c>
      <c r="H27" s="121">
        <f>IF(DATEDIF(C26,'AP 3'!$C$21,"Y")&lt;17,0,IF(DATEDIF(C26,$G$17,"Y")&gt;(IF(D26="w",64,65)),0,'AP 3'!$AK$43))</f>
        <v>0</v>
      </c>
      <c r="I27" s="125">
        <f>G27</f>
        <v>0</v>
      </c>
      <c r="J27" s="94">
        <f>'AP 3'!$Q$36</f>
        <v>0</v>
      </c>
    </row>
    <row r="28" spans="1:14" ht="15" customHeight="1" x14ac:dyDescent="0.2">
      <c r="A28" s="38"/>
      <c r="B28" s="7"/>
      <c r="C28" s="14">
        <f>'AP 4'!$F$7</f>
        <v>0</v>
      </c>
      <c r="D28" s="11" t="str">
        <f>IF('AP 4'!$C$10="Bitte auswählen","",IF('AP 4'!$C$10="weiblich","w","m"))</f>
        <v/>
      </c>
      <c r="E28" s="137"/>
      <c r="F28" s="138"/>
      <c r="G28" s="14"/>
      <c r="H28" s="120"/>
      <c r="I28" s="124"/>
      <c r="J28" s="93"/>
    </row>
    <row r="29" spans="1:14" ht="15" customHeight="1" x14ac:dyDescent="0.2">
      <c r="A29" s="37" t="str">
        <f>CONCATENATE('AP 4'!$C$6,$L$22,'AP 4'!$C$7)</f>
        <v xml:space="preserve">, </v>
      </c>
      <c r="B29" s="10"/>
      <c r="C29" s="129">
        <f>'AP 4'!$F$6</f>
        <v>0</v>
      </c>
      <c r="D29" s="139"/>
      <c r="E29" s="166">
        <f>IF('AP 4'!$Q$37=0,0,IF('AP 4'!$C$14&lt;'AP 4'!$C$21,'AP 4'!$C$21,'AP 4'!$C$14))</f>
        <v>0</v>
      </c>
      <c r="F29" s="166">
        <f>IF('AP 4'!$Q$37=0,0,IF('AP 4'!$C$15&gt;0,'AP 4'!$C$15,$G$17))</f>
        <v>0</v>
      </c>
      <c r="G29" s="167">
        <f>IF(DATEDIF(C28,'AP 4'!$C$21,"Y")&lt;17,0,'AP 4'!$Q$39)</f>
        <v>0</v>
      </c>
      <c r="H29" s="121">
        <f>IF(DATEDIF(C28,'AP 4'!$C$21,"Y")&lt;17,0,IF(DATEDIF(C28,$G$17,"Y")&gt;(IF(D28="w",64,65)),0,'AP 4'!$AK$43))</f>
        <v>0</v>
      </c>
      <c r="I29" s="125">
        <f>G29</f>
        <v>0</v>
      </c>
      <c r="J29" s="94">
        <f>'AP 4'!$Q$36</f>
        <v>0</v>
      </c>
    </row>
    <row r="30" spans="1:14" ht="15" customHeight="1" x14ac:dyDescent="0.2">
      <c r="A30" s="38"/>
      <c r="B30" s="7"/>
      <c r="C30" s="14">
        <f>'AP 5'!$F$7</f>
        <v>0</v>
      </c>
      <c r="D30" s="11" t="str">
        <f>IF('AP 5'!$C$10="Bitte auswählen","",IF('AP 5'!$C$10="weiblich","w","m"))</f>
        <v/>
      </c>
      <c r="E30" s="137"/>
      <c r="F30" s="138"/>
      <c r="G30" s="14"/>
      <c r="H30" s="120"/>
      <c r="I30" s="124"/>
      <c r="J30" s="93"/>
    </row>
    <row r="31" spans="1:14" ht="15" customHeight="1" x14ac:dyDescent="0.2">
      <c r="A31" s="37" t="str">
        <f>CONCATENATE('AP 5'!$C$6,$L$22,'AP 5'!$C$7)</f>
        <v xml:space="preserve">, </v>
      </c>
      <c r="B31" s="10"/>
      <c r="C31" s="129">
        <f>'AP 5'!$F$6</f>
        <v>0</v>
      </c>
      <c r="D31" s="139"/>
      <c r="E31" s="166">
        <f>IF('AP 5'!$Q$37=0,0,IF('AP 5'!$C$14&lt;'AP 5'!$C$21,'AP 5'!$C$21,'AP 5'!$C$14))</f>
        <v>0</v>
      </c>
      <c r="F31" s="166">
        <f>IF('AP 5'!$Q$37=0,0,IF('AP 5'!$C$15&gt;0,'AP 5'!$C$15,$G$17))</f>
        <v>0</v>
      </c>
      <c r="G31" s="167">
        <f>IF(DATEDIF(C30,'AP 5'!$C$21,"Y")&lt;17,0,'AP 5'!$Q$39)</f>
        <v>0</v>
      </c>
      <c r="H31" s="121">
        <f>IF(DATEDIF(C30,'AP 5'!$C$21,"Y")&lt;17,0,IF(DATEDIF(C30,$G$17,"Y")&gt;(IF(D30="w",64,65)),0,'AP 5'!$AK$43))</f>
        <v>0</v>
      </c>
      <c r="I31" s="125">
        <f>G31</f>
        <v>0</v>
      </c>
      <c r="J31" s="94">
        <f>'AP 5'!$Q$36</f>
        <v>0</v>
      </c>
    </row>
    <row r="32" spans="1:14" ht="15" customHeight="1" x14ac:dyDescent="0.2">
      <c r="A32" s="38"/>
      <c r="B32" s="7"/>
      <c r="C32" s="14">
        <f>'AP 6'!$F$7</f>
        <v>0</v>
      </c>
      <c r="D32" s="11" t="str">
        <f>IF('AP 6'!$C$10="Bitte auswählen","",IF('AP 6'!$C$10="weiblich","w","m"))</f>
        <v/>
      </c>
      <c r="E32" s="137"/>
      <c r="F32" s="138"/>
      <c r="G32" s="14"/>
      <c r="H32" s="120"/>
      <c r="I32" s="124"/>
      <c r="J32" s="93"/>
    </row>
    <row r="33" spans="1:10" ht="15" customHeight="1" x14ac:dyDescent="0.2">
      <c r="A33" s="37" t="str">
        <f>CONCATENATE('AP 6'!$C$6,$L$22,'AP 6'!$C$7)</f>
        <v xml:space="preserve">, </v>
      </c>
      <c r="B33" s="10"/>
      <c r="C33" s="129">
        <f>'AP 6'!$F$6</f>
        <v>0</v>
      </c>
      <c r="D33" s="139"/>
      <c r="E33" s="166">
        <f>IF('AP 6'!$Q$37=0,0,IF('AP 6'!$C$14&lt;'AP 6'!$C$21,'AP 6'!$C$21,'AP 6'!$C$14))</f>
        <v>0</v>
      </c>
      <c r="F33" s="166">
        <f>IF('AP 6'!$Q$37=0,0,IF('AP 6'!$C$15&gt;0,'AP 6'!$C$15,$G$17))</f>
        <v>0</v>
      </c>
      <c r="G33" s="167">
        <f>IF(DATEDIF(C32,'AP 6'!$C$21,"Y")&lt;17,0,'AP 6'!$Q$39)</f>
        <v>0</v>
      </c>
      <c r="H33" s="121">
        <f>IF(DATEDIF(C32,'AP 6'!$C$21,"Y")&lt;17,0,IF(DATEDIF(C32,$G$17,"Y")&gt;(IF(D32="w",64,65)),0,'AP 6'!$AK$43))</f>
        <v>0</v>
      </c>
      <c r="I33" s="125">
        <f>G33</f>
        <v>0</v>
      </c>
      <c r="J33" s="94">
        <f>'AP 6'!$Q$36</f>
        <v>0</v>
      </c>
    </row>
    <row r="34" spans="1:10" ht="15" customHeight="1" x14ac:dyDescent="0.2">
      <c r="A34" s="38"/>
      <c r="B34" s="7"/>
      <c r="C34" s="14">
        <f>'AP 7'!$F$7</f>
        <v>0</v>
      </c>
      <c r="D34" s="11" t="str">
        <f>IF('AP 7'!$C$10="Bitte auswählen","",IF('AP 7'!$C$10="weiblich","w","m"))</f>
        <v/>
      </c>
      <c r="E34" s="137"/>
      <c r="F34" s="138"/>
      <c r="G34" s="14"/>
      <c r="H34" s="120"/>
      <c r="I34" s="124"/>
      <c r="J34" s="93"/>
    </row>
    <row r="35" spans="1:10" ht="15" customHeight="1" x14ac:dyDescent="0.2">
      <c r="A35" s="37" t="str">
        <f>CONCATENATE('AP 7'!$C$6,$L$22,'AP 7'!$C$7)</f>
        <v xml:space="preserve">, </v>
      </c>
      <c r="B35" s="10"/>
      <c r="C35" s="129">
        <f>'AP 7'!$F$6</f>
        <v>0</v>
      </c>
      <c r="D35" s="139"/>
      <c r="E35" s="166">
        <f>IF('AP 7'!$Q$37=0,0,IF('AP 7'!$C$14&lt;'AP 7'!$C$21,'AP 7'!$C$21,'AP 7'!$C$14))</f>
        <v>0</v>
      </c>
      <c r="F35" s="166">
        <f>IF('AP 7'!$Q$37=0,0,IF('AP 7'!$C$15&gt;0,'AP 7'!$C$15,$G$17))</f>
        <v>0</v>
      </c>
      <c r="G35" s="167">
        <f>IF(DATEDIF(C34,'AP 7'!$C$21,"Y")&lt;17,0,'AP 7'!$Q$39)</f>
        <v>0</v>
      </c>
      <c r="H35" s="121">
        <f>IF(DATEDIF(C34,'AP 7'!$C$21,"Y")&lt;17,0,IF(DATEDIF(C34,$G$17,"Y")&gt;(IF(D34="w",64,65)),0,'AP 7'!$AK$43))</f>
        <v>0</v>
      </c>
      <c r="I35" s="125">
        <f>G35</f>
        <v>0</v>
      </c>
      <c r="J35" s="94">
        <f>'AP 7'!$Q$36</f>
        <v>0</v>
      </c>
    </row>
    <row r="36" spans="1:10" ht="15" customHeight="1" x14ac:dyDescent="0.2">
      <c r="A36" s="38"/>
      <c r="B36" s="7"/>
      <c r="C36" s="14">
        <f>'AP 8'!$F$7</f>
        <v>0</v>
      </c>
      <c r="D36" s="11" t="str">
        <f>IF('AP 8'!$C$10="Bitte auswählen","",IF('AP 8'!$C$10="weiblich","w","m"))</f>
        <v/>
      </c>
      <c r="E36" s="137"/>
      <c r="F36" s="138"/>
      <c r="G36" s="14"/>
      <c r="H36" s="120"/>
      <c r="I36" s="124"/>
      <c r="J36" s="93"/>
    </row>
    <row r="37" spans="1:10" ht="15" customHeight="1" x14ac:dyDescent="0.2">
      <c r="A37" s="37" t="str">
        <f>CONCATENATE('AP 8'!$C$6,$L$22,'AP 8'!$C$7)</f>
        <v xml:space="preserve">, </v>
      </c>
      <c r="B37" s="10"/>
      <c r="C37" s="129">
        <f>'AP 8'!$F$6</f>
        <v>0</v>
      </c>
      <c r="D37" s="139"/>
      <c r="E37" s="166">
        <f>IF('AP 8'!$Q$37=0,0,IF('AP 8'!$C$14&lt;'AP 8'!$C$21,'AP 8'!$C$21,'AP 8'!$C$14))</f>
        <v>0</v>
      </c>
      <c r="F37" s="166">
        <f>IF('AP 8'!$Q$37=0,0,IF('AP 8'!$C$15&gt;0,'AP 8'!$C$15,$G$17))</f>
        <v>0</v>
      </c>
      <c r="G37" s="167">
        <f>IF(DATEDIF(C36,'AP 8'!$C$21,"Y")&lt;17,0,'AP 8'!$Q$39)</f>
        <v>0</v>
      </c>
      <c r="H37" s="121">
        <f>IF(DATEDIF(C36,'AP 8'!$C$21,"Y")&lt;17,0,IF(DATEDIF(C36,$G$17,"Y")&gt;(IF(D36="w",64,65)),0,'AP 8'!$AK$43))</f>
        <v>0</v>
      </c>
      <c r="I37" s="125">
        <f>G37</f>
        <v>0</v>
      </c>
      <c r="J37" s="94">
        <f>'AP 8'!$Q$36</f>
        <v>0</v>
      </c>
    </row>
    <row r="38" spans="1:10" ht="15" customHeight="1" x14ac:dyDescent="0.2">
      <c r="A38" s="38"/>
      <c r="B38" s="7"/>
      <c r="C38" s="14">
        <f>'AP 9'!$F$7</f>
        <v>0</v>
      </c>
      <c r="D38" s="11" t="str">
        <f>IF('AP 9'!$C$10="Bitte auswählen","",IF('AP 9'!$C$10="weiblich","w","m"))</f>
        <v/>
      </c>
      <c r="E38" s="128"/>
      <c r="F38" s="14"/>
      <c r="G38" s="14"/>
      <c r="H38" s="120"/>
      <c r="I38" s="124"/>
      <c r="J38" s="93"/>
    </row>
    <row r="39" spans="1:10" ht="15" customHeight="1" x14ac:dyDescent="0.2">
      <c r="A39" s="39" t="str">
        <f>CONCATENATE('AP 9'!$C$6,$L$22,'AP 9'!$C$7)</f>
        <v xml:space="preserve">, </v>
      </c>
      <c r="B39" s="155"/>
      <c r="C39" s="134">
        <f>'AP 9'!$F$6</f>
        <v>0</v>
      </c>
      <c r="D39" s="135"/>
      <c r="E39" s="95">
        <f>IF('AP 9'!$Q$37=0,0,IF('AP 9'!$C$14&lt;'AP 9'!$C$21,'AP 9'!$C$21,'AP 9'!$C$14))</f>
        <v>0</v>
      </c>
      <c r="F39" s="95">
        <f>IF('AP 9'!$Q$37=0,0,IF('AP 9'!$C$15&gt;0,'AP 9'!$C$15,$G$17))</f>
        <v>0</v>
      </c>
      <c r="G39" s="122">
        <f>IF(DATEDIF(C38,'AP 9'!$C$21,"Y")&lt;17,0,'AP 9'!$Q$39)</f>
        <v>0</v>
      </c>
      <c r="H39" s="122">
        <f>IF(DATEDIF(C38,'AP 9'!$C$21,"Y")&lt;17,0,IF(DATEDIF(C38,$G$17,"Y")&gt;(IF(D38="w",64,65)),0,'AP 9'!$AK$43))</f>
        <v>0</v>
      </c>
      <c r="I39" s="126">
        <f>G39</f>
        <v>0</v>
      </c>
      <c r="J39" s="123">
        <f>'AP 9'!$Q$36</f>
        <v>0</v>
      </c>
    </row>
    <row r="40" spans="1:10" ht="15" customHeight="1" x14ac:dyDescent="0.2">
      <c r="A40" s="4"/>
      <c r="B40" s="4"/>
      <c r="C40" s="12"/>
      <c r="D40" s="12"/>
      <c r="E40" s="153"/>
      <c r="F40" s="153"/>
      <c r="G40" s="153"/>
      <c r="H40" s="57"/>
      <c r="I40" s="57"/>
      <c r="J40" s="156"/>
    </row>
    <row r="41" spans="1:10" ht="20.100000000000001" customHeight="1" thickBot="1" x14ac:dyDescent="0.25">
      <c r="A41" s="424"/>
      <c r="B41" s="424"/>
      <c r="C41" s="424"/>
      <c r="D41" s="424"/>
      <c r="E41" s="112"/>
      <c r="F41" s="154" t="s">
        <v>120</v>
      </c>
      <c r="G41" s="96">
        <f>SUM(G22:G39)</f>
        <v>0</v>
      </c>
      <c r="H41" s="96">
        <f>SUM(H22:H39)</f>
        <v>0</v>
      </c>
      <c r="I41" s="96">
        <f>SUM(I22:I39)</f>
        <v>0</v>
      </c>
      <c r="J41" s="141">
        <f>SUM(J22:J39)</f>
        <v>0</v>
      </c>
    </row>
    <row r="42" spans="1:10" ht="15" customHeight="1" thickTop="1" x14ac:dyDescent="0.2">
      <c r="A42" s="424"/>
      <c r="B42" s="424"/>
      <c r="C42" s="424"/>
      <c r="D42" s="424"/>
    </row>
    <row r="43" spans="1:10" ht="15" customHeight="1" x14ac:dyDescent="0.2"/>
    <row r="44" spans="1:10" ht="15" customHeight="1" x14ac:dyDescent="0.2">
      <c r="A44" s="1" t="s">
        <v>196</v>
      </c>
      <c r="E44" s="521"/>
      <c r="F44" s="521"/>
      <c r="G44" s="521"/>
      <c r="H44" s="521"/>
      <c r="I44" s="521"/>
      <c r="J44" s="521"/>
    </row>
    <row r="45" spans="1:10" ht="15" customHeight="1" x14ac:dyDescent="0.2">
      <c r="A45" s="1" t="s">
        <v>197</v>
      </c>
      <c r="E45" s="528"/>
      <c r="F45" s="528"/>
      <c r="G45" s="528"/>
      <c r="H45" s="528"/>
      <c r="I45" s="528"/>
      <c r="J45" s="528"/>
    </row>
    <row r="46" spans="1:10" ht="15" customHeight="1" x14ac:dyDescent="0.2"/>
    <row r="47" spans="1:10" ht="15" customHeight="1" x14ac:dyDescent="0.2">
      <c r="A47" s="144" t="s">
        <v>198</v>
      </c>
      <c r="B47" s="26"/>
      <c r="C47" s="26"/>
      <c r="D47" s="519"/>
      <c r="E47" s="520"/>
      <c r="F47" s="497" t="s">
        <v>199</v>
      </c>
      <c r="G47" s="497"/>
      <c r="H47" s="497"/>
      <c r="I47" s="497"/>
      <c r="J47" s="497"/>
    </row>
    <row r="48" spans="1:10" ht="15" customHeight="1" x14ac:dyDescent="0.2">
      <c r="A48" s="145" t="s">
        <v>200</v>
      </c>
      <c r="D48" s="519"/>
      <c r="E48" s="520"/>
      <c r="F48" s="497"/>
      <c r="G48" s="497"/>
      <c r="H48" s="497"/>
      <c r="I48" s="497"/>
      <c r="J48" s="497"/>
    </row>
    <row r="49" spans="1:10" ht="5.0999999999999996" customHeight="1" x14ac:dyDescent="0.2">
      <c r="A49" s="147"/>
      <c r="B49" s="3"/>
      <c r="C49" s="3"/>
      <c r="D49" s="148"/>
      <c r="E49" s="149"/>
      <c r="F49" s="497"/>
      <c r="G49" s="497"/>
      <c r="H49" s="497"/>
      <c r="I49" s="497"/>
      <c r="J49" s="497"/>
    </row>
    <row r="50" spans="1:10" ht="15" customHeight="1" x14ac:dyDescent="0.2">
      <c r="A50" s="143" t="s">
        <v>201</v>
      </c>
      <c r="B50" s="2"/>
      <c r="E50" s="146"/>
      <c r="F50" s="497"/>
      <c r="G50" s="497"/>
      <c r="H50" s="497"/>
      <c r="I50" s="497"/>
      <c r="J50" s="497"/>
    </row>
    <row r="51" spans="1:10" ht="15" customHeight="1" x14ac:dyDescent="0.2">
      <c r="A51" s="522"/>
      <c r="B51" s="523"/>
      <c r="C51" s="523"/>
      <c r="D51" s="523"/>
      <c r="E51" s="524"/>
      <c r="F51" s="497"/>
      <c r="G51" s="497"/>
      <c r="H51" s="497"/>
      <c r="I51" s="497"/>
      <c r="J51" s="497"/>
    </row>
    <row r="52" spans="1:10" ht="15" customHeight="1" x14ac:dyDescent="0.2">
      <c r="A52" s="522"/>
      <c r="B52" s="523"/>
      <c r="C52" s="523"/>
      <c r="D52" s="523"/>
      <c r="E52" s="524"/>
      <c r="F52" s="497"/>
      <c r="G52" s="497"/>
      <c r="H52" s="497"/>
      <c r="I52" s="497"/>
      <c r="J52" s="497"/>
    </row>
    <row r="53" spans="1:10" ht="15" customHeight="1" x14ac:dyDescent="0.2">
      <c r="A53" s="525"/>
      <c r="B53" s="526"/>
      <c r="C53" s="526"/>
      <c r="D53" s="526"/>
      <c r="E53" s="527"/>
      <c r="F53" s="497"/>
      <c r="G53" s="497"/>
      <c r="H53" s="497"/>
      <c r="I53" s="497"/>
      <c r="J53" s="497"/>
    </row>
    <row r="54" spans="1:10" ht="15" customHeight="1" x14ac:dyDescent="0.2">
      <c r="A54" s="142"/>
      <c r="B54" s="2"/>
      <c r="F54" s="3"/>
      <c r="G54" s="3"/>
      <c r="I54" s="3"/>
      <c r="J54" s="150"/>
    </row>
    <row r="55" spans="1:10" x14ac:dyDescent="0.2">
      <c r="A55" s="142"/>
      <c r="B55" s="2"/>
      <c r="F55" s="4" t="s">
        <v>186</v>
      </c>
      <c r="G55" s="2"/>
      <c r="H55" s="2"/>
      <c r="I55" s="4" t="s">
        <v>187</v>
      </c>
      <c r="J55" s="162"/>
    </row>
    <row r="56" spans="1:10" x14ac:dyDescent="0.2">
      <c r="A56" s="142"/>
      <c r="B56" s="2"/>
      <c r="I56" s="162"/>
      <c r="J56" s="162"/>
    </row>
    <row r="57" spans="1:10" ht="15" customHeight="1" x14ac:dyDescent="0.2">
      <c r="I57" s="162"/>
      <c r="J57" s="162"/>
    </row>
    <row r="58" spans="1:10" ht="15" customHeight="1" x14ac:dyDescent="0.2">
      <c r="F58" s="33"/>
      <c r="G58" s="33"/>
      <c r="H58" s="33"/>
      <c r="I58" s="33"/>
      <c r="J58" s="33"/>
    </row>
  </sheetData>
  <sheetProtection algorithmName="SHA-512" hashValue="npmnpkmmGPxBdrGS7ORIAr9Lk79AYrpYmKqnuoRYLjTWLBIT3BYR6/DNIJC3avtc1pRUKbm8XSGzYmvu9YFFgQ==" saltValue="oZFoz4vl9ETZfwukcYbVGg==" spinCount="100000" sheet="1" objects="1" scenarios="1"/>
  <mergeCells count="28">
    <mergeCell ref="A7:D7"/>
    <mergeCell ref="M4:M5"/>
    <mergeCell ref="A1:C3"/>
    <mergeCell ref="G1:J3"/>
    <mergeCell ref="I5:J5"/>
    <mergeCell ref="I6:J6"/>
    <mergeCell ref="D47:E47"/>
    <mergeCell ref="D48:E48"/>
    <mergeCell ref="F47:J53"/>
    <mergeCell ref="E44:J44"/>
    <mergeCell ref="A51:E53"/>
    <mergeCell ref="E45:J45"/>
    <mergeCell ref="E19:F19"/>
    <mergeCell ref="G13:J13"/>
    <mergeCell ref="G14:J14"/>
    <mergeCell ref="G15:J15"/>
    <mergeCell ref="A8:D8"/>
    <mergeCell ref="A9:D9"/>
    <mergeCell ref="I19:I21"/>
    <mergeCell ref="J19:J21"/>
    <mergeCell ref="G17:H17"/>
    <mergeCell ref="A10:D10"/>
    <mergeCell ref="A11:D11"/>
    <mergeCell ref="A12:D12"/>
    <mergeCell ref="G19:G21"/>
    <mergeCell ref="H19:H21"/>
    <mergeCell ref="A13:D13"/>
    <mergeCell ref="G12:J12"/>
  </mergeCells>
  <pageMargins left="0.23622047244094491" right="0.23622047244094491" top="0.39370078740157483" bottom="0.39370078740157483" header="0.31496062992125984" footer="0.31496062992125984"/>
  <pageSetup paperSize="9" scale="93"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59999389629810485"/>
    <pageSetUpPr fitToPage="1"/>
  </sheetPr>
  <dimension ref="A1:R84"/>
  <sheetViews>
    <sheetView showGridLines="0" showZeros="0" zoomScaleNormal="100" workbookViewId="0">
      <selection activeCell="B9" sqref="B9"/>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1'!$F$6="","",'AP 1'!$F$6)</f>
        <v/>
      </c>
      <c r="C5" s="537"/>
      <c r="D5" s="537"/>
      <c r="E5" s="537"/>
      <c r="F5" s="537"/>
      <c r="G5" s="389"/>
      <c r="H5" s="536" cm="1">
        <f t="array" ref="H5">'AP 1'!F7:F7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1'!A21</f>
        <v>45657</v>
      </c>
      <c r="C7" s="538"/>
      <c r="E7" s="198" t="s">
        <v>213</v>
      </c>
      <c r="F7" s="415">
        <f>IF('AP 1'!$Q$37=0,0,IF('AP 1'!$C$14&lt;'AP 1'!$C$21,'AP 1'!$C$21,'AP 1'!$C$14))</f>
        <v>0</v>
      </c>
      <c r="G7" s="415"/>
      <c r="H7" s="1"/>
      <c r="I7" s="536">
        <f>IF('AP 1'!$Q$37=0,0,IF('AP 1'!$C$15&gt;0,'AP 1'!$C$15,B7))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1'!C6:C6," ",'AP 1'!C7:C7)</f>
        <v xml:space="preserve"> </v>
      </c>
    </row>
    <row r="12" spans="1:18" x14ac:dyDescent="0.25">
      <c r="A12" s="198"/>
      <c r="L12" s="1">
        <f>'AP 1'!C8:C8</f>
        <v>0</v>
      </c>
    </row>
    <row r="13" spans="1:18" x14ac:dyDescent="0.25">
      <c r="A13" s="198"/>
      <c r="L13" s="1">
        <f>'AP 1'!C9:C9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1'!Q37-'AP 1'!Q31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230</v>
      </c>
      <c r="G23" s="204"/>
      <c r="H23" s="204"/>
      <c r="I23" s="206"/>
      <c r="J23" s="204"/>
      <c r="K23" s="204"/>
      <c r="L23" s="204"/>
      <c r="M23" s="204"/>
      <c r="N23" s="204"/>
      <c r="O23" s="206"/>
      <c r="P23" s="206"/>
      <c r="Q23" s="195" t="s">
        <v>231</v>
      </c>
      <c r="R23" s="417">
        <f>'AP 1'!Q31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233</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235</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1'!Q40+'AP 1'!Q41+'AP 1'!Q42)*-1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247</v>
      </c>
      <c r="I44" s="206"/>
      <c r="J44" s="204"/>
      <c r="K44" s="204"/>
      <c r="L44" s="204"/>
      <c r="M44" s="204"/>
      <c r="N44" s="204"/>
      <c r="O44" s="206"/>
      <c r="P44" s="206"/>
      <c r="Q44" s="195" t="s">
        <v>33</v>
      </c>
      <c r="R44" s="417">
        <f>'AP 1'!Q44*-1</f>
        <v>0</v>
      </c>
    </row>
    <row r="45" spans="1:18" x14ac:dyDescent="0.25">
      <c r="A45" s="198"/>
      <c r="B45" s="192" t="s">
        <v>248</v>
      </c>
      <c r="C45" s="192"/>
      <c r="D45" s="192"/>
      <c r="E45" s="192" t="s">
        <v>249</v>
      </c>
      <c r="F45" s="192"/>
      <c r="G45" s="192"/>
      <c r="H45" s="192"/>
      <c r="J45" s="192"/>
      <c r="K45" s="192"/>
      <c r="L45" s="192"/>
      <c r="M45" s="192"/>
      <c r="N45" s="192"/>
      <c r="R45" s="220"/>
    </row>
    <row r="46" spans="1:18" x14ac:dyDescent="0.25">
      <c r="A46" s="198"/>
      <c r="B46" s="192" t="s">
        <v>250</v>
      </c>
      <c r="C46" s="192"/>
      <c r="E46" s="192" t="s">
        <v>251</v>
      </c>
      <c r="H46" s="204" t="s">
        <v>252</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1'!Q46*-1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1'!L7&lt;100%,"Teilzeitpensum "&amp;('AP 1'!L7+'AP 1'!L12)*100&amp;"%","")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02">
        <f>'Lohnbescheinigung (ordentlich)'!A8:A8</f>
        <v>0</v>
      </c>
      <c r="N77" s="502"/>
      <c r="O77" s="502"/>
      <c r="P77" s="502"/>
      <c r="Q77" s="502"/>
      <c r="R77" s="502"/>
    </row>
    <row r="78" spans="1:18" ht="9" customHeight="1" x14ac:dyDescent="0.25">
      <c r="B78" s="192"/>
      <c r="C78" s="192"/>
      <c r="F78" s="194" t="s">
        <v>283</v>
      </c>
      <c r="G78" s="194"/>
      <c r="M78" s="224"/>
      <c r="N78" s="224"/>
      <c r="O78" s="224"/>
      <c r="P78" s="224"/>
      <c r="Q78" s="224"/>
      <c r="R78" s="224"/>
    </row>
    <row r="79" spans="1:18" x14ac:dyDescent="0.25">
      <c r="B79" s="192"/>
      <c r="C79" s="192"/>
      <c r="F79" s="192" t="s">
        <v>284</v>
      </c>
      <c r="G79" s="192"/>
      <c r="M79" s="502">
        <f>'Lohnbescheinigung (ordentlich)'!A9:A9</f>
        <v>0</v>
      </c>
      <c r="N79" s="502"/>
      <c r="O79" s="502"/>
      <c r="P79" s="502"/>
      <c r="Q79" s="502"/>
      <c r="R79" s="502"/>
    </row>
    <row r="80" spans="1:18" ht="9" customHeight="1" x14ac:dyDescent="0.25">
      <c r="B80" s="192"/>
      <c r="C80" s="192"/>
      <c r="F80" s="194" t="s">
        <v>285</v>
      </c>
      <c r="G80" s="194"/>
      <c r="M80" s="224"/>
      <c r="N80" s="224"/>
      <c r="O80" s="224"/>
      <c r="P80" s="224"/>
      <c r="Q80" s="224"/>
      <c r="R80" s="224"/>
    </row>
    <row r="81" spans="2:18" x14ac:dyDescent="0.25">
      <c r="B81" s="192"/>
      <c r="C81" s="192"/>
      <c r="F81" s="192" t="s">
        <v>286</v>
      </c>
      <c r="G81" s="192"/>
      <c r="M81" s="502">
        <f>'Lohnbescheinigung (ordentlich)'!A10:A10</f>
        <v>0</v>
      </c>
      <c r="N81" s="502"/>
      <c r="O81" s="502"/>
      <c r="P81" s="502"/>
      <c r="Q81" s="502"/>
      <c r="R81" s="502"/>
    </row>
    <row r="82" spans="2:18" ht="9" customHeight="1" x14ac:dyDescent="0.25">
      <c r="B82" s="192"/>
      <c r="C82" s="192"/>
      <c r="F82" s="194" t="s">
        <v>287</v>
      </c>
      <c r="G82" s="194"/>
      <c r="M82" s="225"/>
      <c r="N82" s="225"/>
      <c r="O82" s="225"/>
      <c r="P82" s="225"/>
      <c r="Q82" s="225"/>
      <c r="R82" s="225"/>
    </row>
    <row r="83" spans="2:18" x14ac:dyDescent="0.25">
      <c r="B83" s="192"/>
      <c r="C83" s="192"/>
      <c r="I83" s="192"/>
      <c r="M83" s="546" t="s">
        <v>288</v>
      </c>
      <c r="N83" s="546"/>
      <c r="O83" s="546"/>
      <c r="P83" s="546"/>
      <c r="Q83" s="546"/>
      <c r="R83" s="546"/>
    </row>
    <row r="84" spans="2:18" x14ac:dyDescent="0.25">
      <c r="B84" s="192"/>
      <c r="C84" s="192"/>
    </row>
  </sheetData>
  <sheetProtection algorithmName="SHA-512" hashValue="P6wbjDQvXrm0fwrfyucupWDSnNZr7SJo6hCWBmUcSL3yg8a6H53LP78X7wt1MVPzgqRPwd6QJlw3Nmmy5wDtJw==" saltValue="xMXk1K0zmIf7aUmvJaDkNA==" spinCount="100000" sheet="1" objects="1" scenarios="1"/>
  <mergeCells count="27">
    <mergeCell ref="I32:P32"/>
    <mergeCell ref="I38:P38"/>
    <mergeCell ref="I55:P55"/>
    <mergeCell ref="I61:P61"/>
    <mergeCell ref="M83:R83"/>
    <mergeCell ref="M77:R77"/>
    <mergeCell ref="M79:R79"/>
    <mergeCell ref="M81:R81"/>
    <mergeCell ref="D71:R71"/>
    <mergeCell ref="D73:R73"/>
    <mergeCell ref="D75:R75"/>
    <mergeCell ref="H5:K5"/>
    <mergeCell ref="B5:F5"/>
    <mergeCell ref="B7:C7"/>
    <mergeCell ref="I67:R67"/>
    <mergeCell ref="I69:R69"/>
    <mergeCell ref="I7:J7"/>
    <mergeCell ref="J27:P27"/>
    <mergeCell ref="O5:R6"/>
    <mergeCell ref="O7:R8"/>
    <mergeCell ref="R18:R20"/>
    <mergeCell ref="I65:R65"/>
    <mergeCell ref="A53:B53"/>
    <mergeCell ref="A57:B57"/>
    <mergeCell ref="A63:B63"/>
    <mergeCell ref="C53:C56"/>
    <mergeCell ref="B30:P30"/>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2'!$F$6="","",'AP 2'!$F$6)</f>
        <v/>
      </c>
      <c r="C5" s="537"/>
      <c r="D5" s="537"/>
      <c r="E5" s="537"/>
      <c r="F5" s="537"/>
      <c r="G5" s="389"/>
      <c r="H5" s="536" cm="1">
        <f t="array" ref="H5">'AP 2'!F7:F7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2'!A21</f>
        <v>45657</v>
      </c>
      <c r="C7" s="538"/>
      <c r="E7" s="198" t="s">
        <v>213</v>
      </c>
      <c r="F7" s="415">
        <f>IF('AP 2'!$Q$37=0,0,IF('AP 2'!$C$14&lt;'AP 2'!$C$21,'AP 2'!$C$21,'AP 2'!$C$14))</f>
        <v>0</v>
      </c>
      <c r="G7" s="415"/>
      <c r="H7" s="1"/>
      <c r="I7" s="536">
        <f>IF('AP 2'!$Q$37=0,0,IF('AP 2'!$C$15&gt;0,'AP 2'!$C$15,B7))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2'!C6:C6," ",'AP 2'!C7:C7)</f>
        <v xml:space="preserve"> </v>
      </c>
    </row>
    <row r="12" spans="1:18" x14ac:dyDescent="0.25">
      <c r="A12" s="198"/>
      <c r="L12" s="1">
        <f>'AP 2'!C8:C8</f>
        <v>0</v>
      </c>
    </row>
    <row r="13" spans="1:18" x14ac:dyDescent="0.25">
      <c r="A13" s="198"/>
      <c r="L13" s="1">
        <f>'AP 2'!C9:C9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2'!Q37-'AP 2'!Q31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230</v>
      </c>
      <c r="G23" s="204"/>
      <c r="H23" s="204"/>
      <c r="I23" s="206"/>
      <c r="J23" s="204"/>
      <c r="K23" s="204"/>
      <c r="L23" s="204"/>
      <c r="M23" s="204"/>
      <c r="N23" s="204"/>
      <c r="O23" s="206"/>
      <c r="P23" s="206"/>
      <c r="Q23" s="195" t="s">
        <v>231</v>
      </c>
      <c r="R23" s="417">
        <f>'AP 2'!Q31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233</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235</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2'!Q40+'AP 2'!Q41+'AP 2'!Q42)*-1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247</v>
      </c>
      <c r="I44" s="206"/>
      <c r="J44" s="204"/>
      <c r="K44" s="204"/>
      <c r="L44" s="204"/>
      <c r="M44" s="204"/>
      <c r="N44" s="204"/>
      <c r="O44" s="206"/>
      <c r="P44" s="206"/>
      <c r="Q44" s="195" t="s">
        <v>33</v>
      </c>
      <c r="R44" s="417">
        <f>'AP 2'!Q44*-1</f>
        <v>0</v>
      </c>
    </row>
    <row r="45" spans="1:18" x14ac:dyDescent="0.25">
      <c r="A45" s="198"/>
      <c r="B45" s="192" t="s">
        <v>248</v>
      </c>
      <c r="C45" s="192"/>
      <c r="D45" s="192"/>
      <c r="E45" s="192" t="s">
        <v>249</v>
      </c>
      <c r="F45" s="192"/>
      <c r="G45" s="192"/>
      <c r="H45" s="192"/>
      <c r="J45" s="192"/>
      <c r="K45" s="192"/>
      <c r="L45" s="192"/>
      <c r="M45" s="192"/>
      <c r="N45" s="192"/>
      <c r="R45" s="220"/>
    </row>
    <row r="46" spans="1:18" x14ac:dyDescent="0.25">
      <c r="A46" s="198"/>
      <c r="B46" s="192" t="s">
        <v>250</v>
      </c>
      <c r="C46" s="192"/>
      <c r="E46" s="192" t="s">
        <v>251</v>
      </c>
      <c r="H46" s="204" t="s">
        <v>252</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2'!Q46*-1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2'!L7&lt;100%,"Teilzeitpensum "&amp;('AP 2'!L7+'AP 2'!L12)*100&amp;"%","")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02">
        <f>'Lohnbescheinigung (ordentlich)'!A8:A8</f>
        <v>0</v>
      </c>
      <c r="N77" s="502"/>
      <c r="O77" s="502"/>
      <c r="P77" s="502"/>
      <c r="Q77" s="502"/>
      <c r="R77" s="502"/>
    </row>
    <row r="78" spans="1:18" ht="9" customHeight="1" x14ac:dyDescent="0.25">
      <c r="B78" s="192"/>
      <c r="C78" s="192"/>
      <c r="F78" s="194" t="s">
        <v>283</v>
      </c>
      <c r="G78" s="194"/>
      <c r="M78" s="224"/>
      <c r="N78" s="224"/>
      <c r="O78" s="224"/>
      <c r="P78" s="224"/>
      <c r="Q78" s="224"/>
      <c r="R78" s="224"/>
    </row>
    <row r="79" spans="1:18" x14ac:dyDescent="0.25">
      <c r="B79" s="192"/>
      <c r="C79" s="192"/>
      <c r="F79" s="192" t="s">
        <v>284</v>
      </c>
      <c r="G79" s="192"/>
      <c r="M79" s="502">
        <f>'Lohnbescheinigung (ordentlich)'!A9:A9</f>
        <v>0</v>
      </c>
      <c r="N79" s="502"/>
      <c r="O79" s="502"/>
      <c r="P79" s="502"/>
      <c r="Q79" s="502"/>
      <c r="R79" s="502"/>
    </row>
    <row r="80" spans="1:18" ht="9" customHeight="1" x14ac:dyDescent="0.25">
      <c r="B80" s="192"/>
      <c r="C80" s="192"/>
      <c r="F80" s="194" t="s">
        <v>285</v>
      </c>
      <c r="G80" s="194"/>
      <c r="M80" s="224"/>
      <c r="N80" s="224"/>
      <c r="O80" s="224"/>
      <c r="P80" s="224"/>
      <c r="Q80" s="224"/>
      <c r="R80" s="224"/>
    </row>
    <row r="81" spans="2:18" x14ac:dyDescent="0.25">
      <c r="B81" s="192"/>
      <c r="C81" s="192"/>
      <c r="F81" s="192" t="s">
        <v>286</v>
      </c>
      <c r="G81" s="192"/>
      <c r="M81" s="502">
        <f>'Lohnbescheinigung (ordentlich)'!A10:A10</f>
        <v>0</v>
      </c>
      <c r="N81" s="502"/>
      <c r="O81" s="502"/>
      <c r="P81" s="502"/>
      <c r="Q81" s="502"/>
      <c r="R81" s="502"/>
    </row>
    <row r="82" spans="2:18" ht="9" customHeight="1" x14ac:dyDescent="0.25">
      <c r="B82" s="192"/>
      <c r="C82" s="192"/>
      <c r="F82" s="194" t="s">
        <v>287</v>
      </c>
      <c r="G82" s="194"/>
      <c r="M82" s="225"/>
      <c r="N82" s="225"/>
      <c r="O82" s="225"/>
      <c r="P82" s="225"/>
      <c r="Q82" s="225"/>
      <c r="R82" s="225"/>
    </row>
    <row r="83" spans="2:18"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xxnQglOfrdzJOWq8HoquQm0++khPp4HDSot7hjmWuWBmDzAWiiFqH9KKZZmpKvoLfojxJHvY/UIECJpJk7M6Ww==" saltValue="GlYauozAmivonM6gIiOwlA=="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3'!$F$6="","",'AP 3'!$F$6)</f>
        <v/>
      </c>
      <c r="C5" s="537"/>
      <c r="D5" s="537"/>
      <c r="E5" s="537"/>
      <c r="F5" s="537"/>
      <c r="G5" s="389"/>
      <c r="H5" s="536" cm="1">
        <f t="array" ref="H5">'AP 3'!F7:F7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3'!A21</f>
        <v>45657</v>
      </c>
      <c r="C7" s="538"/>
      <c r="E7" s="198" t="s">
        <v>213</v>
      </c>
      <c r="F7" s="415">
        <f>IF('AP 3'!$Q$37=0,0,IF('AP 3'!$C$14&lt;'AP 3'!$C$21,'AP 3'!$C$21,'AP 3'!$C$14))</f>
        <v>0</v>
      </c>
      <c r="G7" s="415"/>
      <c r="H7" s="1"/>
      <c r="I7" s="536">
        <f>IF('AP 3'!$Q$37=0,0,IF('AP 3'!$C$15&gt;0,'AP 3'!$C$15,B7))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3'!C6:C6," ",'AP 3'!C7:C7)</f>
        <v xml:space="preserve"> </v>
      </c>
    </row>
    <row r="12" spans="1:18" x14ac:dyDescent="0.25">
      <c r="A12" s="198"/>
      <c r="L12" s="1">
        <f>'AP 3'!C8:C8</f>
        <v>0</v>
      </c>
    </row>
    <row r="13" spans="1:18" x14ac:dyDescent="0.25">
      <c r="A13" s="198"/>
      <c r="L13" s="1">
        <f>'AP 3'!C9:C9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3'!Q37-'AP 3'!Q31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3'!Q31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3'!Q40+'AP 3'!Q41+'AP 3'!Q42)*-1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3'!Q44*-1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3'!Q46*-1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3'!L7&lt;100%,"Teilzeitpensum "&amp;('AP 3'!L7+'AP 3'!L12)*100&amp;"%","")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ht="13.5" customHeight="1"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nBfSizvTGPMpngqWeAAp8NpJICNcjaw5dXBeBPCr9wDIYIoOqN4YJoJsk7URlOxZkYp5sQDlnvGWzsywsLqxSw==" saltValue="1kQzHe7iNdfykeWCmzv5Ow=="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4'!$F$6="","",'AP 4'!$F$6)</f>
        <v/>
      </c>
      <c r="C5" s="537"/>
      <c r="D5" s="537"/>
      <c r="E5" s="537"/>
      <c r="F5" s="537"/>
      <c r="G5" s="389"/>
      <c r="H5" s="536" cm="1">
        <f t="array" ref="H5">'AP 4'!F7:F7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4'!A21</f>
        <v>45657</v>
      </c>
      <c r="C7" s="538"/>
      <c r="E7" s="198" t="s">
        <v>213</v>
      </c>
      <c r="F7" s="415">
        <f>IF('AP 4'!$Q$37=0,0,IF('AP 4'!$C$14&lt;'AP 4'!$C$21,'AP 4'!$C$21,'AP 4'!$C$14))</f>
        <v>0</v>
      </c>
      <c r="G7" s="415"/>
      <c r="H7" s="1"/>
      <c r="I7" s="536">
        <f>IF('AP 4'!$Q$37=0,0,IF('AP 4'!$C$15&gt;0,'AP 4'!$C$15,B7))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4'!C6:C6," ",'AP 4'!C7:C7)</f>
        <v xml:space="preserve"> </v>
      </c>
    </row>
    <row r="12" spans="1:18" x14ac:dyDescent="0.25">
      <c r="A12" s="198"/>
      <c r="L12" s="1">
        <f>'AP 4'!C8:C8</f>
        <v>0</v>
      </c>
    </row>
    <row r="13" spans="1:18" x14ac:dyDescent="0.25">
      <c r="A13" s="198"/>
      <c r="L13" s="1">
        <f>'AP 4'!C9:C9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4'!Q37-'AP 4'!Q31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4'!Q31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4'!Q40+'AP 4'!Q41+'AP 4'!Q42)*-1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4'!Q44*-1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4'!Q46*-1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4'!L7&lt;100%,"Teilzeitpensum "&amp;('AP 4'!L7+'AP 4'!L12)*100&amp;"%","")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ht="13.5" customHeight="1"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6Ng1kAzHP5N8usAhsm+ag3elSZwSthlVXCd9Jmi/+bx2WXvTGvVvTz8k/LVnW3l0CIjUof9XUTyQsSyMARQClA==" saltValue="Ko15mk4gSw75CijiyeF87w=="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5'!$F$6="","",'AP 5'!$F$6)</f>
        <v/>
      </c>
      <c r="C5" s="537"/>
      <c r="D5" s="537"/>
      <c r="E5" s="537"/>
      <c r="F5" s="537"/>
      <c r="G5" s="389"/>
      <c r="H5" s="536" cm="1">
        <f t="array" ref="H5">'AP 5'!F7:F7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5'!A21</f>
        <v>45657</v>
      </c>
      <c r="C7" s="538"/>
      <c r="E7" s="198" t="s">
        <v>213</v>
      </c>
      <c r="F7" s="415">
        <f>IF('AP 5'!$Q$37=0,0,IF('AP 5'!$C$14&lt;'AP 5'!$C$21,'AP 5'!$C$21,'AP 5'!$C$14))</f>
        <v>0</v>
      </c>
      <c r="G7" s="415"/>
      <c r="H7" s="1"/>
      <c r="I7" s="536">
        <f>IF('AP 5'!$Q$37=0,0,IF('AP 5'!$C$15&gt;0,'AP 5'!$C$15,B7))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5'!C6:C6," ",'AP 5'!C7:C7)</f>
        <v xml:space="preserve"> </v>
      </c>
    </row>
    <row r="12" spans="1:18" x14ac:dyDescent="0.25">
      <c r="A12" s="198"/>
      <c r="L12" s="1">
        <f>'AP 5'!C8:C8</f>
        <v>0</v>
      </c>
    </row>
    <row r="13" spans="1:18" x14ac:dyDescent="0.25">
      <c r="A13" s="198"/>
      <c r="L13" s="1">
        <f>'AP 5'!C9:C9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5'!Q37-'AP 5'!Q31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5'!Q31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5'!Q40+'AP 5'!Q41+'AP 5'!Q42)*-1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5'!Q44*-1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5'!Q46*-1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5'!L7&lt;100%,"Teilzeitpensum "&amp;('AP 5'!L7+'AP 5'!L12)*100&amp;"%","")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ht="13.5" customHeight="1"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MIcXxFtRgi6M4sNJTOWs0BXYIL5F7UUY1A1Qw+J0lJrWmWf/UVDBKdG1bXnCdxvDUjN2baVKe5FrwO6DlBM7HQ==" saltValue="8J8ZTn+E516KsigTCQz8tQ=="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6'!$F$6="","",'AP 6'!$F$6)</f>
        <v/>
      </c>
      <c r="C5" s="537"/>
      <c r="D5" s="537"/>
      <c r="E5" s="537"/>
      <c r="F5" s="537"/>
      <c r="G5" s="389"/>
      <c r="H5" s="536" cm="1">
        <f t="array" ref="H5">'AP 6'!F7:F7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6'!A21</f>
        <v>45657</v>
      </c>
      <c r="C7" s="538"/>
      <c r="E7" s="198" t="s">
        <v>213</v>
      </c>
      <c r="F7" s="415">
        <f>IF('AP 6'!$Q$37=0,0,IF('AP 6'!$C$14&lt;'AP 6'!$C$21,'AP 6'!$C$21,'AP 6'!$C$14))</f>
        <v>0</v>
      </c>
      <c r="G7" s="415"/>
      <c r="H7" s="1"/>
      <c r="I7" s="536">
        <f>IF('AP 6'!$Q$37=0,0,IF('AP 6'!$C$15&gt;0,'AP 6'!$C$15,B7))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6'!C6:C6," ",'AP 6'!C7:C7)</f>
        <v xml:space="preserve"> </v>
      </c>
    </row>
    <row r="12" spans="1:18" x14ac:dyDescent="0.25">
      <c r="A12" s="198"/>
      <c r="L12" s="1">
        <f>'AP 6'!C8:C8</f>
        <v>0</v>
      </c>
    </row>
    <row r="13" spans="1:18" x14ac:dyDescent="0.25">
      <c r="A13" s="198"/>
      <c r="L13" s="1">
        <f>'AP 6'!C9:C9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6'!Q37-'AP 6'!Q31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6'!Q31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6'!Q40+'AP 6'!Q41+'AP 6'!Q42)*-1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6'!Q44*-1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6'!Q46*-1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6'!L7&lt;100%,"Teilzeitpensum "&amp;('AP 6'!L7+'AP 6'!L12)*100&amp;"%","")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ht="13.5" customHeight="1"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6WGstXjWtQwBoz2nvG1V1r05oVBxlY+ahCqltwvfXR2T7JmBy44eMGTJ8PvCEq4H3DZE/ZzXeSWOOHR6Rd4LMQ==" saltValue="7l8riyCHlebl8o0515JEPA=="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7'!$F$6="","",'AP 7'!$F$6)</f>
        <v/>
      </c>
      <c r="C5" s="537"/>
      <c r="D5" s="537"/>
      <c r="E5" s="537"/>
      <c r="F5" s="537"/>
      <c r="G5" s="389"/>
      <c r="H5" s="536" cm="1">
        <f t="array" ref="H5">'AP 7'!F7:F7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7'!A21</f>
        <v>45657</v>
      </c>
      <c r="C7" s="538"/>
      <c r="E7" s="198" t="s">
        <v>213</v>
      </c>
      <c r="F7" s="415">
        <f>IF('AP 7'!$Q$37=0,0,IF('AP 7'!$C$14&lt;'AP 7'!$C$21,'AP 7'!$C$21,'AP 7'!$C$14))</f>
        <v>0</v>
      </c>
      <c r="G7" s="415"/>
      <c r="H7" s="1"/>
      <c r="I7" s="536">
        <f>IF('AP 7'!$Q$37=0,0,IF('AP 7'!$C$15&gt;0,'AP 7'!$C$15,B7))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7'!C6:C6," ",'AP 7'!C7:C7)</f>
        <v xml:space="preserve"> </v>
      </c>
    </row>
    <row r="12" spans="1:18" x14ac:dyDescent="0.25">
      <c r="A12" s="198"/>
      <c r="L12" s="1">
        <f>'AP 7'!C8:C8</f>
        <v>0</v>
      </c>
    </row>
    <row r="13" spans="1:18" x14ac:dyDescent="0.25">
      <c r="A13" s="198"/>
      <c r="L13" s="1">
        <f>'AP 7'!C9:C9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7'!Q37-'AP 7'!Q31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7'!Q31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7'!Q40+'AP 7'!Q41+'AP 7'!Q42)*-1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7'!Q44*-1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7'!Q46*-1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7'!L7&lt;100%,"Teilzeitpensum "&amp;('AP 7'!L7+'AP 7'!L12)*100&amp;"%","")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ht="13.5" customHeight="1"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BRzuoblvixCaX8QJgvf3DnGXtwd8GErlN4bNQWia/TYR7ahpmIZGw/Mk9p6ynpMGko+CVhkzm+KWlMMnnIu2fg==" saltValue="PhYL5s0I12C+NL3lc78Dmg=="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BD"/>
    <pageSetUpPr fitToPage="1"/>
  </sheetPr>
  <dimension ref="A1:AK67"/>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
        <v>43</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
        <v>47</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2'!Z6="vereinfacht",'AP 3'!Z6="vereinfacht",'AP 4'!Z6="vereinfacht",'AP 5'!Z6="vereinfacht",'AP 6'!Z6="vereinfacht",'AP 7'!Z6="vereinfacht",'AP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ht="12.75" customHeigh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ht="12.75" customHeigh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4'!Z6="vereinfacht",'AP 5'!Z6="vereinfacht",'AP 6'!Z6="vereinfacht",'AP 7'!Z6="vereinfacht",'AP 8'!Z6="vereinfacht",'AP 9'!Z6="vereinfacht"),(AND(Z7="ordentlich",'AP 2'!Z7="ordentlich",'AP 3'!Z7="ordentlich",'AP 4'!Z7="ordentlich",'AP 5'!Z7="ordentlich",'AP 6'!Z7="ordentlich",'AP 7'!Z7="ordentlich",'AP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IF(DATEDIF($F$7,C21,"Y")&lt;17,0,IF(DATEDIF($F$7,C21,"Y")&gt;(IF($C$10="weiblich",63,64)),0,IF(AND(U2&gt;22049.99,SUM(T15:T16)=0),"Hinweis: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Y42</f>
        <v>0</v>
      </c>
      <c r="D38" s="425">
        <f t="shared" ref="D38:H38" si="21">Z42</f>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C$39*-$T$8</f>
        <v>0</v>
      </c>
      <c r="D40" s="240">
        <f t="shared" ref="D40:H40" si="26">D$39*-$T$8</f>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C$39*(IF(DATEDIF($F$7,$D$1,"Y")&lt;18,0,IF(DATEDIF($F$7,C21,"Y")&gt;(IF($C$10="weiblich",63,64)),0,-1.1%)))</f>
        <v>0</v>
      </c>
      <c r="D41" s="243">
        <f>D$39*(IF(DATEDIF($F$7,$D$1,"Y")&lt;18,0,IF(DATEDIF($F$7,D21,"Y")&gt;(IF($C$10="weiblich",63,64)),0,-1.1%)))</f>
        <v>0</v>
      </c>
      <c r="E41" s="243">
        <f>E$39*(IF(DATEDIF($F$7,$D$1,"Y")&lt;18,0,IF(DATEDIF($F$7,E21,"Y")&gt;(IF($C$10="weiblich",63,64)),0,-1.1%)))</f>
        <v>0</v>
      </c>
      <c r="F41" s="243">
        <f t="shared" ref="F41:H41" si="30">F$39*(IF(DATEDIF($F$7,$D$1,"Y")&lt;18,0,IF(DATEDIF($F$7,F21,"Y")&gt;(IF($C$10="weiblich",63,64)),0,-1.1%)))</f>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IF($G$12="JA",(IF(DATEDIF($F$7,C$21,"Y")&lt;18,0,C25)),"")</f>
        <v/>
      </c>
      <c r="D63" s="391" t="str">
        <f t="shared" ref="D63:H63" si="64">IF($G$12="JA",(IF(DATEDIF($F$7,D$21,"Y")&lt;18,0,D25)),"")</f>
        <v/>
      </c>
      <c r="E63" s="391" t="str">
        <f t="shared" si="64"/>
        <v/>
      </c>
      <c r="F63" s="391" t="str">
        <f t="shared" si="64"/>
        <v/>
      </c>
      <c r="G63" s="391" t="str">
        <f t="shared" si="64"/>
        <v/>
      </c>
      <c r="H63" s="392" t="str">
        <f t="shared" si="64"/>
        <v/>
      </c>
      <c r="I63" s="334" t="str">
        <f t="shared" si="60"/>
        <v/>
      </c>
      <c r="J63" s="292" t="str">
        <f>B63</f>
        <v xml:space="preserve"> </v>
      </c>
      <c r="K63" s="393" t="str">
        <f>IF($G$12="JA",K25,"")</f>
        <v/>
      </c>
      <c r="L63" s="393" t="str">
        <f t="shared" ref="L63:P63" si="65">IF($G$12="JA",(IF(DATEDIF($F$7,L$21,"Y")&lt;18,0,L25)),"")</f>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IF($G$12="JA",(IF(DATEDIF($F$7,C$21,"Y")&lt;18,0,(IF(OR(C32&gt;0.1,C33&gt;0.1),"LFP abrechnen","")))),"")</f>
        <v/>
      </c>
      <c r="D64" s="307" t="str">
        <f t="shared" ref="D64:H64" si="66">IF($G$12="JA",(IF(DATEDIF($F$7,D$21,"Y")&lt;18,0,(IF(OR(D32&gt;0.1,D33&gt;0.1),"LFP abrechnen","")))),"")</f>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2"/>
      <c r="B65" s="2"/>
      <c r="C65" s="1"/>
      <c r="D65" s="1"/>
      <c r="E65" s="1"/>
      <c r="F65" s="1"/>
      <c r="G65" s="1"/>
      <c r="H65" s="1"/>
      <c r="I65" s="1"/>
      <c r="J65" s="2"/>
      <c r="K65" s="1"/>
      <c r="L65" s="1"/>
      <c r="M65" s="1"/>
      <c r="N65" s="1"/>
      <c r="O65" s="1"/>
      <c r="P65" s="1"/>
      <c r="Q65" s="1"/>
      <c r="R65" s="62"/>
      <c r="S65" s="57"/>
      <c r="T65" s="57"/>
      <c r="U65" s="57"/>
      <c r="V65" s="62"/>
      <c r="W65" s="101"/>
      <c r="X65" s="58"/>
      <c r="Y65" s="58"/>
      <c r="Z65" s="58"/>
      <c r="AA65" s="58"/>
      <c r="AB65" s="58"/>
      <c r="AC65" s="58"/>
      <c r="AD65" s="63"/>
      <c r="AE65" s="63"/>
    </row>
    <row r="66" spans="1:31" s="6" customFormat="1" ht="15" customHeight="1" x14ac:dyDescent="0.2">
      <c r="A66" s="1"/>
      <c r="B66" s="1"/>
      <c r="C66" s="1"/>
      <c r="D66" s="1"/>
      <c r="E66" s="1"/>
      <c r="F66" s="1"/>
      <c r="G66" s="1"/>
      <c r="H66" s="1"/>
      <c r="I66" s="1"/>
      <c r="J66" s="1"/>
      <c r="K66" s="1"/>
      <c r="L66" s="1"/>
      <c r="M66" s="1"/>
      <c r="N66" s="1"/>
      <c r="O66" s="1"/>
      <c r="P66" s="1"/>
      <c r="Q66" s="1"/>
      <c r="R66" s="62"/>
      <c r="S66" s="62"/>
      <c r="T66" s="62"/>
      <c r="U66" s="62"/>
      <c r="V66" s="62"/>
      <c r="W66" s="102"/>
      <c r="X66" s="236"/>
      <c r="Y66" s="236"/>
      <c r="Z66" s="236"/>
      <c r="AA66" s="236"/>
      <c r="AB66" s="236"/>
      <c r="AC66" s="236"/>
      <c r="AD66" s="236"/>
      <c r="AE66" s="236"/>
    </row>
    <row r="67" spans="1:31" ht="15" customHeight="1" x14ac:dyDescent="0.2">
      <c r="S67" s="62"/>
      <c r="T67" s="62"/>
      <c r="U67" s="62"/>
    </row>
  </sheetData>
  <sheetProtection algorithmName="SHA-512" hashValue="IO+Q/bT3NGT24rIznFOA1U3Ge4R/NcuV/FHgmuUMR3jrTzb0Fa5tPW8F47MDNHuqswYJxwZcexl+yzwGKTLE7w==" saltValue="fPLC5qD0oEZGdB8zmHSf9Q==" spinCount="100000" sheet="1" objects="1" scenarios="1"/>
  <mergeCells count="49">
    <mergeCell ref="E52:E53"/>
    <mergeCell ref="D52:D53"/>
    <mergeCell ref="C52:C53"/>
    <mergeCell ref="G1:H3"/>
    <mergeCell ref="P1:Q3"/>
    <mergeCell ref="F7:G7"/>
    <mergeCell ref="P52:P53"/>
    <mergeCell ref="H52:H53"/>
    <mergeCell ref="K52:K53"/>
    <mergeCell ref="L52:L53"/>
    <mergeCell ref="M52:M53"/>
    <mergeCell ref="N52:N53"/>
    <mergeCell ref="O52:O53"/>
    <mergeCell ref="G52:G53"/>
    <mergeCell ref="F52:F53"/>
    <mergeCell ref="F14:G14"/>
    <mergeCell ref="S4:T4"/>
    <mergeCell ref="C9:D9"/>
    <mergeCell ref="F9:G9"/>
    <mergeCell ref="S31:U32"/>
    <mergeCell ref="L1:N2"/>
    <mergeCell ref="A2:C2"/>
    <mergeCell ref="I2:K2"/>
    <mergeCell ref="C8:D8"/>
    <mergeCell ref="F8:G8"/>
    <mergeCell ref="A1:C1"/>
    <mergeCell ref="D1:F2"/>
    <mergeCell ref="I1:K1"/>
    <mergeCell ref="I4:L4"/>
    <mergeCell ref="C6:D6"/>
    <mergeCell ref="F6:G6"/>
    <mergeCell ref="C7:D7"/>
    <mergeCell ref="AH4:AI5"/>
    <mergeCell ref="AD4:AD5"/>
    <mergeCell ref="AA2:AA5"/>
    <mergeCell ref="Y2:Y5"/>
    <mergeCell ref="X4:X5"/>
    <mergeCell ref="Z4:Z5"/>
    <mergeCell ref="AB4:AB5"/>
    <mergeCell ref="AC4:AC5"/>
    <mergeCell ref="F15:G15"/>
    <mergeCell ref="F16:G16"/>
    <mergeCell ref="S20:U22"/>
    <mergeCell ref="S18:U18"/>
    <mergeCell ref="S41:U43"/>
    <mergeCell ref="S33:U35"/>
    <mergeCell ref="S28:U30"/>
    <mergeCell ref="S24:U26"/>
    <mergeCell ref="S36:U40"/>
  </mergeCells>
  <conditionalFormatting sqref="A25">
    <cfRule type="beginsWith" dxfId="637" priority="12" operator="beginsWith" text="Anz">
      <formula>LEFT(A25,LEN("Anz"))="Anz"</formula>
    </cfRule>
  </conditionalFormatting>
  <conditionalFormatting sqref="A26">
    <cfRule type="containsText" dxfId="636" priority="159" operator="containsText" text="Anzahl Stunden">
      <formula>NOT(ISERROR(SEARCH("Anzahl Stunden",A26)))</formula>
    </cfRule>
    <cfRule type="containsText" dxfId="635" priority="195" operator="containsText" text="Anzahl Stunden I">
      <formula>NOT(ISERROR(SEARCH("Anzahl Stunden I",A26)))</formula>
    </cfRule>
    <cfRule type="containsText" dxfId="634" priority="181" operator="containsText" text="Anzahl Stunden Standard">
      <formula>NOT(ISERROR(SEARCH("Anzahl Stunden Standard",A26)))</formula>
    </cfRule>
  </conditionalFormatting>
  <conditionalFormatting sqref="A28">
    <cfRule type="containsText" dxfId="633" priority="180" operator="containsText" text="Anzahl Stunden II">
      <formula>NOT(ISERROR(SEARCH("Anzahl Stunden II",A28)))</formula>
    </cfRule>
    <cfRule type="containsText" dxfId="632" priority="179" operator="containsText" text="Anzahl Stunden Quali B">
      <formula>NOT(ISERROR(SEARCH("Anzahl Stunden Quali B",A28)))</formula>
    </cfRule>
  </conditionalFormatting>
  <conditionalFormatting sqref="A24:B24">
    <cfRule type="expression" dxfId="631" priority="160">
      <formula>$G$11="ja"</formula>
    </cfRule>
  </conditionalFormatting>
  <conditionalFormatting sqref="A25:B25">
    <cfRule type="expression" dxfId="630" priority="69">
      <formula>$P$10&gt;0.1</formula>
    </cfRule>
  </conditionalFormatting>
  <conditionalFormatting sqref="A50:B50">
    <cfRule type="expression" dxfId="629" priority="116">
      <formula>$G$11="ja"</formula>
    </cfRule>
  </conditionalFormatting>
  <conditionalFormatting sqref="A60:Q64">
    <cfRule type="expression" dxfId="628" priority="60">
      <formula>$G$12="nein"</formula>
    </cfRule>
  </conditionalFormatting>
  <conditionalFormatting sqref="B25">
    <cfRule type="beginsWith" dxfId="627" priority="11" operator="beginsWith" text="Anz">
      <formula>LEFT(B25,LEN("Anz"))="Anz"</formula>
    </cfRule>
  </conditionalFormatting>
  <conditionalFormatting sqref="B26">
    <cfRule type="containsText" dxfId="626" priority="66" operator="containsText" text="Std.">
      <formula>NOT(ISERROR(SEARCH("Std.",B26)))</formula>
    </cfRule>
    <cfRule type="containsText" dxfId="625" priority="67" operator="containsText" text="Std.">
      <formula>NOT(ISERROR(SEARCH("Std.",B26)))</formula>
    </cfRule>
    <cfRule type="containsText" dxfId="624" priority="68" operator="containsText" text="Std.">
      <formula>NOT(ISERROR(SEARCH("Std.",B26)))</formula>
    </cfRule>
  </conditionalFormatting>
  <conditionalFormatting sqref="B28">
    <cfRule type="containsText" dxfId="623" priority="61" operator="containsText" text="Std.">
      <formula>NOT(ISERROR(SEARCH("Std.",B28)))</formula>
    </cfRule>
    <cfRule type="containsText" dxfId="622" priority="62" operator="containsText" text="Std.">
      <formula>NOT(ISERROR(SEARCH("Std.",B28)))</formula>
    </cfRule>
    <cfRule type="containsText" dxfId="621" priority="63" operator="containsText" text="Std.">
      <formula>NOT(ISERROR(SEARCH("Std.",B28)))</formula>
    </cfRule>
  </conditionalFormatting>
  <conditionalFormatting sqref="C17">
    <cfRule type="expression" dxfId="620" priority="201">
      <formula>$A$17="13. Monatslohn"</formula>
    </cfRule>
  </conditionalFormatting>
  <conditionalFormatting sqref="C22:H22">
    <cfRule type="cellIs" dxfId="619" priority="198" operator="greaterThan">
      <formula>1</formula>
    </cfRule>
  </conditionalFormatting>
  <conditionalFormatting sqref="C23:H23 K23:P23">
    <cfRule type="expression" dxfId="618" priority="6">
      <formula>$B$23="CHF"</formula>
    </cfRule>
  </conditionalFormatting>
  <conditionalFormatting sqref="C24:H24 K24:P24">
    <cfRule type="expression" dxfId="617" priority="113">
      <formula>$G$11="ja"</formula>
    </cfRule>
  </conditionalFormatting>
  <conditionalFormatting sqref="C25:H25 K25:P25">
    <cfRule type="expression" dxfId="616" priority="37">
      <formula>$B$25="Anz."</formula>
    </cfRule>
  </conditionalFormatting>
  <conditionalFormatting sqref="C26:H26">
    <cfRule type="expression" dxfId="615" priority="2">
      <formula>$C$16="Stundenlohn"</formula>
    </cfRule>
    <cfRule type="expression" dxfId="614" priority="1">
      <formula>$G$12="ja"</formula>
    </cfRule>
  </conditionalFormatting>
  <conditionalFormatting sqref="C28:H28 K28:P28">
    <cfRule type="expression" dxfId="613" priority="114">
      <formula>$G$10="Ja"</formula>
    </cfRule>
  </conditionalFormatting>
  <conditionalFormatting sqref="C50:H50">
    <cfRule type="expression" dxfId="612" priority="82">
      <formula>C51&gt;0.01</formula>
    </cfRule>
    <cfRule type="expression" dxfId="611" priority="83">
      <formula>C51&lt;-0.01</formula>
    </cfRule>
  </conditionalFormatting>
  <conditionalFormatting sqref="C51:H51">
    <cfRule type="cellIs" dxfId="610" priority="100" operator="lessThan">
      <formula>-0.04</formula>
    </cfRule>
    <cfRule type="cellIs" dxfId="609" priority="101" operator="greaterThan">
      <formula>0.04</formula>
    </cfRule>
  </conditionalFormatting>
  <conditionalFormatting sqref="G1">
    <cfRule type="containsText" dxfId="608" priority="23" operator="containsText" text="Achtung Fehler">
      <formula>NOT(ISERROR(SEARCH("Achtung Fehler",G1)))</formula>
    </cfRule>
  </conditionalFormatting>
  <conditionalFormatting sqref="G10">
    <cfRule type="expression" dxfId="607" priority="17">
      <formula>$C$16="Stundenlohn"</formula>
    </cfRule>
  </conditionalFormatting>
  <conditionalFormatting sqref="H17:H18 S24">
    <cfRule type="beginsWith" dxfId="606" priority="189" operator="beginsWith" text="ACHTUNG">
      <formula>LEFT(H17,LEN("ACHTUNG"))="ACHTUNG"</formula>
    </cfRule>
  </conditionalFormatting>
  <conditionalFormatting sqref="I25">
    <cfRule type="beginsWith" dxfId="605" priority="8" operator="beginsWith" text="Anz">
      <formula>LEFT(I25,LEN("Anz"))="Anz"</formula>
    </cfRule>
  </conditionalFormatting>
  <conditionalFormatting sqref="I26">
    <cfRule type="containsText" dxfId="604" priority="34" operator="containsText" text="Anzahl Stunden I">
      <formula>NOT(ISERROR(SEARCH("Anzahl Stunden I",I26)))</formula>
    </cfRule>
    <cfRule type="containsText" dxfId="603" priority="33" operator="containsText" text="Anzahl Stunden Standard">
      <formula>NOT(ISERROR(SEARCH("Anzahl Stunden Standard",I26)))</formula>
    </cfRule>
    <cfRule type="containsText" dxfId="602" priority="30" operator="containsText" text="Anzahl Stunden">
      <formula>NOT(ISERROR(SEARCH("Anzahl Stunden",I26)))</formula>
    </cfRule>
  </conditionalFormatting>
  <conditionalFormatting sqref="I28">
    <cfRule type="containsText" dxfId="601" priority="32" operator="containsText" text="Anzahl Stunden II">
      <formula>NOT(ISERROR(SEARCH("Anzahl Stunden II",I28)))</formula>
    </cfRule>
    <cfRule type="containsText" dxfId="600" priority="31" operator="containsText" text="Anzahl Stunden Quali B">
      <formula>NOT(ISERROR(SEARCH("Anzahl Stunden Quali B",I28)))</formula>
    </cfRule>
  </conditionalFormatting>
  <conditionalFormatting sqref="I24:J24">
    <cfRule type="expression" dxfId="599" priority="59">
      <formula>$G$11="ja"</formula>
    </cfRule>
  </conditionalFormatting>
  <conditionalFormatting sqref="I25:J25">
    <cfRule type="expression" dxfId="598" priority="9">
      <formula>$P$10&gt;0.1</formula>
    </cfRule>
  </conditionalFormatting>
  <conditionalFormatting sqref="I50:J50">
    <cfRule type="expression" dxfId="597" priority="58">
      <formula>$G$11="ja"</formula>
    </cfRule>
  </conditionalFormatting>
  <conditionalFormatting sqref="J25">
    <cfRule type="beginsWith" dxfId="596" priority="7" operator="beginsWith" text="Anz">
      <formula>LEFT(J25,LEN("Anz"))="Anz"</formula>
    </cfRule>
  </conditionalFormatting>
  <conditionalFormatting sqref="J26">
    <cfRule type="containsText" dxfId="595" priority="27" operator="containsText" text="Std.">
      <formula>NOT(ISERROR(SEARCH("Std.",J26)))</formula>
    </cfRule>
    <cfRule type="containsText" dxfId="594" priority="29" operator="containsText" text="Std.">
      <formula>NOT(ISERROR(SEARCH("Std.",J26)))</formula>
    </cfRule>
    <cfRule type="containsText" dxfId="593" priority="28" operator="containsText" text="Std.">
      <formula>NOT(ISERROR(SEARCH("Std.",J26)))</formula>
    </cfRule>
  </conditionalFormatting>
  <conditionalFormatting sqref="J28">
    <cfRule type="containsText" dxfId="592" priority="24" operator="containsText" text="Std.">
      <formula>NOT(ISERROR(SEARCH("Std.",J28)))</formula>
    </cfRule>
    <cfRule type="containsText" dxfId="591" priority="25" operator="containsText" text="Std.">
      <formula>NOT(ISERROR(SEARCH("Std.",J28)))</formula>
    </cfRule>
    <cfRule type="containsText" dxfId="590" priority="26" operator="containsText" text="Std.">
      <formula>NOT(ISERROR(SEARCH("Std.",J28)))</formula>
    </cfRule>
  </conditionalFormatting>
  <conditionalFormatting sqref="K22:P22">
    <cfRule type="cellIs" dxfId="589" priority="199" operator="greaterThan">
      <formula>1</formula>
    </cfRule>
  </conditionalFormatting>
  <conditionalFormatting sqref="K26:P26">
    <cfRule type="expression" dxfId="588" priority="110">
      <formula>$G$12="ja"</formula>
    </cfRule>
    <cfRule type="expression" dxfId="587" priority="111">
      <formula>$C$16="Stundenlohn"</formula>
    </cfRule>
  </conditionalFormatting>
  <conditionalFormatting sqref="K50:P50">
    <cfRule type="expression" dxfId="586" priority="70">
      <formula>K51&gt;0.01</formula>
    </cfRule>
    <cfRule type="expression" dxfId="585" priority="71">
      <formula>K51&lt;-0.01</formula>
    </cfRule>
  </conditionalFormatting>
  <conditionalFormatting sqref="K51:P51">
    <cfRule type="cellIs" dxfId="584" priority="96" operator="lessThan">
      <formula>-0.04</formula>
    </cfRule>
    <cfRule type="cellIs" dxfId="583" priority="97" operator="greaterThan">
      <formula>0.04</formula>
    </cfRule>
  </conditionalFormatting>
  <conditionalFormatting sqref="L7">
    <cfRule type="expression" dxfId="582" priority="106">
      <formula>$C$16="Bitte auswählen"</formula>
    </cfRule>
  </conditionalFormatting>
  <conditionalFormatting sqref="L12">
    <cfRule type="expression" dxfId="581" priority="184">
      <formula>$G$10="ja"</formula>
    </cfRule>
  </conditionalFormatting>
  <conditionalFormatting sqref="M8">
    <cfRule type="expression" dxfId="580" priority="38">
      <formula>$C$16="Monatslohn"</formula>
    </cfRule>
    <cfRule type="expression" dxfId="579" priority="104">
      <formula>$C$16="Stundenlohn"</formula>
    </cfRule>
  </conditionalFormatting>
  <conditionalFormatting sqref="M13">
    <cfRule type="expression" dxfId="578" priority="154">
      <formula>$G$10="ja"</formula>
    </cfRule>
  </conditionalFormatting>
  <conditionalFormatting sqref="P1">
    <cfRule type="containsText" dxfId="577" priority="22" operator="containsText" text="Achtung Fehler">
      <formula>NOT(ISERROR(SEARCH("Achtung Fehler",P1)))</formula>
    </cfRule>
  </conditionalFormatting>
  <conditionalFormatting sqref="P7">
    <cfRule type="expression" dxfId="576" priority="161">
      <formula>$N$7="1 Stunde Bereitschaft ="</formula>
    </cfRule>
  </conditionalFormatting>
  <conditionalFormatting sqref="P10">
    <cfRule type="expression" dxfId="575" priority="5">
      <formula>$Q$10="Stunden"</formula>
    </cfRule>
  </conditionalFormatting>
  <conditionalFormatting sqref="S20">
    <cfRule type="beginsWith" dxfId="574" priority="190" operator="beginsWith" text="ACHTUNG">
      <formula>LEFT(S20,LEN("ACHTUNG"))="ACHTUNG"</formula>
    </cfRule>
    <cfRule type="beginsWith" dxfId="573" priority="191" operator="beginsWith" text="Hinweis">
      <formula>LEFT(S20,LEN("Hinweis"))="Hinweis"</formula>
    </cfRule>
    <cfRule type="beginsWith" dxfId="572" priority="192" operator="beginsWith" text="Vereinfachtes">
      <formula>LEFT(S20,LEN("Vereinfachtes"))="Vereinfachtes"</formula>
    </cfRule>
  </conditionalFormatting>
  <conditionalFormatting sqref="S28">
    <cfRule type="beginsWith" dxfId="571" priority="188" operator="beginsWith" text="ACHTUNG">
      <formula>LEFT(S28,LEN("ACHTUNG"))="ACHTUNG"</formula>
    </cfRule>
  </conditionalFormatting>
  <conditionalFormatting sqref="S36:S37">
    <cfRule type="beginsWith" dxfId="570" priority="193" operator="beginsWith" text="ACHTUNG">
      <formula>LEFT(S36,LEN("ACHTUNG"))="ACHTUNG"</formula>
    </cfRule>
  </conditionalFormatting>
  <dataValidations count="7">
    <dataValidation type="list" allowBlank="1" showInputMessage="1" showErrorMessage="1" sqref="G11:G12" xr:uid="{CE764BA1-6285-4694-A1C1-D05AAF548507}">
      <formula1>$AH$6:$AH$8</formula1>
    </dataValidation>
    <dataValidation type="list" allowBlank="1" showInputMessage="1" showErrorMessage="1" sqref="C16" xr:uid="{00000000-0002-0000-0100-000002000000}">
      <formula1>$X$11:$X$13</formula1>
    </dataValidation>
    <dataValidation type="list" allowBlank="1" showInputMessage="1" showErrorMessage="1" sqref="C10" xr:uid="{00000000-0002-0000-0100-000003000000}">
      <formula1>$X$6:$X$8</formula1>
    </dataValidation>
    <dataValidation type="list" allowBlank="1" showInputMessage="1" showErrorMessage="1" sqref="C17" xr:uid="{00000000-0002-0000-0100-000004000000}">
      <formula1>$Y$11:$Y$12</formula1>
    </dataValidation>
    <dataValidation type="list" allowBlank="1" showInputMessage="1" showErrorMessage="1" sqref="G10" xr:uid="{D07D63A5-3F2D-4095-930C-6144CE147FFB}">
      <formula1>$AC$13:$AC$14</formula1>
    </dataValidation>
    <dataValidation type="list" allowBlank="1" showInputMessage="1" showErrorMessage="1" sqref="F9:G9" xr:uid="{00000000-0002-0000-0100-000006000000}">
      <formula1>$AB$6:$AB$19</formula1>
    </dataValidation>
    <dataValidation type="list" allowBlank="1" showInputMessage="1" showErrorMessage="1" sqref="G13" xr:uid="{640305C4-DCC8-47A3-ADFD-043C8CCB37C0}">
      <formula1>$Y$6:$Y$8</formula1>
    </dataValidation>
  </dataValidations>
  <hyperlinks>
    <hyperlink ref="G1:H3" location="Fehler1" display="Fehler1" xr:uid="{00000000-0004-0000-0100-000000000000}"/>
    <hyperlink ref="P1:Q3" location="Fehler1" display="Fehler1" xr:uid="{00000000-0004-0000-0100-000001000000}"/>
  </hyperlinks>
  <pageMargins left="0.39370078740157483" right="0.39370078740157483" top="0.78740157480314965" bottom="0.39370078740157483" header="0.15748031496062992" footer="0.19685039370078741"/>
  <pageSetup paperSize="9" scale="84"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59999389629810485"/>
    <pageSetUpPr fitToPage="1"/>
  </sheetPr>
  <dimension ref="A1:R84"/>
  <sheetViews>
    <sheetView showGridLines="0" showZeros="0" zoomScaleNormal="100" workbookViewId="0">
      <selection activeCell="B5" sqref="B5:F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8'!$F$6="","",'AP 8'!$F$6)</f>
        <v/>
      </c>
      <c r="C5" s="537"/>
      <c r="D5" s="537"/>
      <c r="E5" s="537"/>
      <c r="F5" s="537"/>
      <c r="G5" s="389"/>
      <c r="H5" s="536" cm="1">
        <f t="array" ref="H5">'AP 8'!F7:F7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8'!A21</f>
        <v>45657</v>
      </c>
      <c r="C7" s="538"/>
      <c r="E7" s="198" t="s">
        <v>213</v>
      </c>
      <c r="F7" s="415">
        <f>IF('AP 8'!$Q$37=0,0,IF('AP 8'!$C$14&lt;'AP 8'!$C$21,'AP 8'!$C$21,'AP 8'!$C$14))</f>
        <v>0</v>
      </c>
      <c r="G7" s="415"/>
      <c r="H7" s="1"/>
      <c r="I7" s="536">
        <f>IF('AP 8'!$Q$37=0,0,IF('AP 8'!$C$15&gt;0,'AP 8'!$C$15,B7))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8'!C6:C6," ",'AP 8'!C7:C7)</f>
        <v xml:space="preserve"> </v>
      </c>
    </row>
    <row r="12" spans="1:18" x14ac:dyDescent="0.25">
      <c r="A12" s="198"/>
      <c r="L12" s="1">
        <f>'AP 8'!C8:C8</f>
        <v>0</v>
      </c>
    </row>
    <row r="13" spans="1:18" x14ac:dyDescent="0.25">
      <c r="A13" s="198"/>
      <c r="L13" s="1">
        <f>'AP 8'!C9:C9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8'!Q37-'AP 8'!Q31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8'!Q31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8'!Q40+'AP 8'!Q41+'AP 8'!Q42)*-1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8'!Q44*-1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7">
        <f>'AP 8'!Q46*-1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8'!L7&lt;100%,"Teilzeitpensum "&amp;('AP 8'!L7+'AP 8'!L12)*100&amp;"%","")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ht="13.5" customHeight="1"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IPztVdVxyMaWr1SwmKBxdRDsgUfPVRwW4SE/UtFcWvIhVT9sSGkU7J7UEsve4n3Lj8zrgS3ea/EIv4H8Eto+dw==" saltValue="OpVnkgsOOwME89kWIUjxQA=="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59999389629810485"/>
    <pageSetUpPr fitToPage="1"/>
  </sheetPr>
  <dimension ref="A1:R84"/>
  <sheetViews>
    <sheetView showGridLines="0" showZeros="0" zoomScaleNormal="100" workbookViewId="0">
      <selection activeCell="N15" sqref="N15"/>
    </sheetView>
  </sheetViews>
  <sheetFormatPr baseColWidth="10" defaultColWidth="11.42578125" defaultRowHeight="13.5" x14ac:dyDescent="0.25"/>
  <cols>
    <col min="1" max="1" width="2.42578125" style="192" bestFit="1" customWidth="1"/>
    <col min="2" max="2" width="3.28515625" style="193" customWidth="1"/>
    <col min="3" max="3" width="12" style="193" customWidth="1"/>
    <col min="4" max="4" width="7.42578125" style="193" customWidth="1"/>
    <col min="5" max="5" width="1.85546875" style="193" customWidth="1"/>
    <col min="6" max="6" width="10.28515625" style="193" customWidth="1"/>
    <col min="7" max="7" width="1.7109375" style="193" customWidth="1"/>
    <col min="8" max="9" width="5.7109375" style="193" customWidth="1"/>
    <col min="10" max="11" width="6.28515625" style="193" customWidth="1"/>
    <col min="12" max="12" width="4" style="193" customWidth="1"/>
    <col min="13" max="13" width="2.140625" style="193" bestFit="1" customWidth="1"/>
    <col min="14" max="14" width="2.7109375" style="193" customWidth="1"/>
    <col min="15" max="15" width="14.7109375" style="193" customWidth="1"/>
    <col min="16" max="16" width="2.7109375" style="193" customWidth="1"/>
    <col min="17" max="17" width="1.7109375" style="193" customWidth="1"/>
    <col min="18" max="18" width="14.140625" style="193" customWidth="1"/>
    <col min="19" max="16384" width="11.42578125" style="193"/>
  </cols>
  <sheetData>
    <row r="1" spans="1:18" ht="18.75" x14ac:dyDescent="0.4">
      <c r="A1" s="198" t="s">
        <v>202</v>
      </c>
      <c r="B1" s="413" t="s">
        <v>203</v>
      </c>
      <c r="C1" s="217" t="s">
        <v>204</v>
      </c>
    </row>
    <row r="2" spans="1:18" ht="3" customHeight="1" x14ac:dyDescent="0.4">
      <c r="A2" s="198"/>
      <c r="C2" s="217"/>
    </row>
    <row r="3" spans="1:18" ht="18.75" x14ac:dyDescent="0.4">
      <c r="A3" s="198" t="s">
        <v>205</v>
      </c>
      <c r="B3" s="414"/>
      <c r="C3" s="217" t="s">
        <v>206</v>
      </c>
    </row>
    <row r="4" spans="1:18" ht="9" customHeight="1" x14ac:dyDescent="0.25">
      <c r="A4" s="198"/>
      <c r="C4" s="202"/>
    </row>
    <row r="5" spans="1:18" ht="13.5" customHeight="1" x14ac:dyDescent="0.25">
      <c r="A5" s="198" t="s">
        <v>207</v>
      </c>
      <c r="B5" s="537" t="str">
        <f>IF('AP 9'!$F$6="","",'AP 9'!$F$6)</f>
        <v/>
      </c>
      <c r="C5" s="537"/>
      <c r="D5" s="537"/>
      <c r="E5" s="537"/>
      <c r="F5" s="537"/>
      <c r="G5" s="389"/>
      <c r="H5" s="536" cm="1">
        <f t="array" ref="H5">'AP 9'!F7:F7</f>
        <v>0</v>
      </c>
      <c r="I5" s="536"/>
      <c r="J5" s="536"/>
      <c r="K5" s="536"/>
      <c r="M5" s="203" t="s">
        <v>208</v>
      </c>
      <c r="N5" s="414"/>
      <c r="O5" s="541" t="s">
        <v>209</v>
      </c>
      <c r="P5" s="541"/>
      <c r="Q5" s="541"/>
      <c r="R5" s="541"/>
    </row>
    <row r="6" spans="1:18" x14ac:dyDescent="0.25">
      <c r="A6" s="198"/>
      <c r="B6" s="197" t="s">
        <v>210</v>
      </c>
      <c r="C6" s="208"/>
      <c r="D6" s="197"/>
      <c r="E6" s="208"/>
      <c r="H6" s="197" t="s">
        <v>211</v>
      </c>
      <c r="M6" s="203"/>
      <c r="O6" s="541"/>
      <c r="P6" s="541"/>
      <c r="Q6" s="541"/>
      <c r="R6" s="541"/>
    </row>
    <row r="7" spans="1:18" ht="13.5" customHeight="1" x14ac:dyDescent="0.25">
      <c r="A7" s="198" t="s">
        <v>212</v>
      </c>
      <c r="B7" s="538">
        <f>'AP 9'!A21</f>
        <v>45657</v>
      </c>
      <c r="C7" s="538"/>
      <c r="E7" s="198" t="s">
        <v>213</v>
      </c>
      <c r="F7" s="415">
        <f>IF('AP 9'!$Q$37=0,0,IF('AP 9'!$C$14&lt;'AP 9'!$C$21,'AP 9'!$C$21,'AP 9'!$C$14))</f>
        <v>0</v>
      </c>
      <c r="G7" s="415"/>
      <c r="H7" s="1"/>
      <c r="I7" s="536">
        <f>IF('AP 9'!$Q$37=0,0,IF('AP 9'!$C$15&gt;0,'AP 9'!$C$15,B7))</f>
        <v>0</v>
      </c>
      <c r="J7" s="536"/>
      <c r="M7" s="203" t="s">
        <v>214</v>
      </c>
      <c r="N7" s="414"/>
      <c r="O7" s="541" t="s">
        <v>215</v>
      </c>
      <c r="P7" s="541"/>
      <c r="Q7" s="541"/>
      <c r="R7" s="541"/>
    </row>
    <row r="8" spans="1:18" x14ac:dyDescent="0.25">
      <c r="A8" s="198"/>
      <c r="B8" s="197" t="s">
        <v>216</v>
      </c>
      <c r="C8" s="197"/>
      <c r="D8" s="197"/>
      <c r="E8" s="197"/>
      <c r="F8" s="197" t="s">
        <v>217</v>
      </c>
      <c r="G8" s="197"/>
      <c r="H8" s="197"/>
      <c r="I8" s="197" t="s">
        <v>218</v>
      </c>
      <c r="M8" s="203"/>
      <c r="O8" s="541"/>
      <c r="P8" s="541"/>
      <c r="Q8" s="541"/>
      <c r="R8" s="541"/>
    </row>
    <row r="9" spans="1:18" x14ac:dyDescent="0.25">
      <c r="A9" s="198" t="s">
        <v>219</v>
      </c>
    </row>
    <row r="10" spans="1:18" x14ac:dyDescent="0.25">
      <c r="A10" s="198"/>
    </row>
    <row r="11" spans="1:18" x14ac:dyDescent="0.25">
      <c r="A11" s="198"/>
      <c r="L11" s="1" t="str">
        <f>CONCATENATE('AP 9'!C6:C6," ",'AP 9'!C7:C7)</f>
        <v xml:space="preserve"> </v>
      </c>
    </row>
    <row r="12" spans="1:18" x14ac:dyDescent="0.25">
      <c r="A12" s="198"/>
      <c r="L12" s="1">
        <f>'AP 9'!C8:C8</f>
        <v>0</v>
      </c>
    </row>
    <row r="13" spans="1:18" x14ac:dyDescent="0.25">
      <c r="A13" s="198"/>
      <c r="L13" s="1">
        <f>'AP 9'!C9:C9</f>
        <v>0</v>
      </c>
    </row>
    <row r="14" spans="1:18" x14ac:dyDescent="0.25">
      <c r="A14" s="198"/>
    </row>
    <row r="15" spans="1:18" x14ac:dyDescent="0.25">
      <c r="A15" s="198"/>
    </row>
    <row r="16" spans="1:18" x14ac:dyDescent="0.25">
      <c r="A16" s="198"/>
    </row>
    <row r="17" spans="1:18" x14ac:dyDescent="0.25">
      <c r="A17" s="198"/>
    </row>
    <row r="18" spans="1:18" ht="13.5" customHeight="1" x14ac:dyDescent="0.25">
      <c r="A18" s="198"/>
      <c r="R18" s="542" t="s">
        <v>220</v>
      </c>
    </row>
    <row r="19" spans="1:18" x14ac:dyDescent="0.25">
      <c r="A19" s="198">
        <v>1</v>
      </c>
      <c r="B19" s="192" t="s">
        <v>221</v>
      </c>
      <c r="C19" s="192"/>
      <c r="D19" s="192" t="s">
        <v>222</v>
      </c>
      <c r="E19" s="192"/>
      <c r="F19" s="192"/>
      <c r="G19" s="192"/>
      <c r="H19" s="192"/>
      <c r="I19" s="192"/>
      <c r="J19" s="196" t="s">
        <v>223</v>
      </c>
      <c r="K19" s="196"/>
      <c r="L19" s="192"/>
      <c r="M19" s="192"/>
      <c r="N19" s="192"/>
      <c r="Q19" s="216"/>
      <c r="R19" s="542"/>
    </row>
    <row r="20" spans="1:18" x14ac:dyDescent="0.25">
      <c r="A20" s="198"/>
      <c r="B20" s="192" t="s">
        <v>224</v>
      </c>
      <c r="C20" s="192"/>
      <c r="D20" s="192" t="s">
        <v>225</v>
      </c>
      <c r="E20" s="192"/>
      <c r="F20" s="192"/>
      <c r="G20" s="192"/>
      <c r="H20" s="192"/>
      <c r="I20" s="192"/>
      <c r="J20" s="196" t="s">
        <v>223</v>
      </c>
      <c r="K20" s="196"/>
      <c r="L20" s="192"/>
      <c r="M20" s="192"/>
      <c r="N20" s="192"/>
      <c r="Q20" s="216"/>
      <c r="R20" s="542"/>
    </row>
    <row r="21" spans="1:18" x14ac:dyDescent="0.25">
      <c r="A21" s="198"/>
      <c r="B21" s="204" t="s">
        <v>226</v>
      </c>
      <c r="C21" s="204"/>
      <c r="D21" s="204" t="s">
        <v>227</v>
      </c>
      <c r="E21" s="204"/>
      <c r="F21" s="204"/>
      <c r="G21" s="204"/>
      <c r="H21" s="204"/>
      <c r="I21" s="204"/>
      <c r="J21" s="205" t="s">
        <v>228</v>
      </c>
      <c r="K21" s="205"/>
      <c r="L21" s="204"/>
      <c r="M21" s="204"/>
      <c r="N21" s="204"/>
      <c r="O21" s="206"/>
      <c r="P21" s="206"/>
      <c r="R21" s="416">
        <f>'AP 9'!Q37-'AP 9'!Q31</f>
        <v>0</v>
      </c>
    </row>
    <row r="22" spans="1:18" ht="3" customHeight="1" x14ac:dyDescent="0.25">
      <c r="A22" s="198"/>
      <c r="B22" s="192"/>
      <c r="C22" s="192"/>
      <c r="D22" s="192"/>
      <c r="E22" s="192"/>
      <c r="F22" s="209"/>
      <c r="G22" s="209"/>
      <c r="H22" s="209"/>
      <c r="I22" s="209"/>
      <c r="J22" s="210"/>
      <c r="K22" s="210"/>
      <c r="L22" s="209"/>
      <c r="M22" s="209"/>
      <c r="N22" s="209"/>
      <c r="O22" s="211"/>
      <c r="P22" s="211"/>
      <c r="R22" s="218"/>
    </row>
    <row r="23" spans="1:18" x14ac:dyDescent="0.25">
      <c r="A23" s="198">
        <v>2</v>
      </c>
      <c r="B23" s="192" t="s">
        <v>229</v>
      </c>
      <c r="C23" s="192"/>
      <c r="D23" s="192"/>
      <c r="E23" s="192"/>
      <c r="F23" s="204" t="s">
        <v>289</v>
      </c>
      <c r="G23" s="204"/>
      <c r="H23" s="204"/>
      <c r="I23" s="206"/>
      <c r="J23" s="204"/>
      <c r="K23" s="204"/>
      <c r="L23" s="204"/>
      <c r="M23" s="204"/>
      <c r="N23" s="204"/>
      <c r="O23" s="206"/>
      <c r="P23" s="206"/>
      <c r="Q23" s="195" t="s">
        <v>231</v>
      </c>
      <c r="R23" s="417">
        <f>'AP 9'!Q31</f>
        <v>0</v>
      </c>
    </row>
    <row r="24" spans="1:18" ht="3" customHeight="1" x14ac:dyDescent="0.25">
      <c r="A24" s="198"/>
      <c r="B24" s="192"/>
      <c r="C24" s="192"/>
      <c r="D24" s="192"/>
      <c r="E24" s="192"/>
      <c r="F24" s="209"/>
      <c r="G24" s="209"/>
      <c r="H24" s="209"/>
      <c r="I24" s="211"/>
      <c r="J24" s="209"/>
      <c r="K24" s="209"/>
      <c r="L24" s="209"/>
      <c r="M24" s="209"/>
      <c r="N24" s="209"/>
      <c r="O24" s="211"/>
      <c r="P24" s="211"/>
      <c r="Q24" s="195"/>
      <c r="R24" s="218"/>
    </row>
    <row r="25" spans="1:18" x14ac:dyDescent="0.25">
      <c r="A25" s="198"/>
      <c r="B25" s="192" t="s">
        <v>232</v>
      </c>
      <c r="C25" s="192"/>
      <c r="D25" s="192"/>
      <c r="E25" s="192"/>
      <c r="F25" s="204" t="s">
        <v>290</v>
      </c>
      <c r="G25" s="204"/>
      <c r="H25" s="204"/>
      <c r="I25" s="204"/>
      <c r="J25" s="204"/>
      <c r="K25" s="204"/>
      <c r="L25" s="204"/>
      <c r="M25" s="204"/>
      <c r="N25" s="204"/>
      <c r="O25" s="206"/>
      <c r="P25" s="206"/>
      <c r="Q25" s="195" t="s">
        <v>231</v>
      </c>
      <c r="R25" s="417"/>
    </row>
    <row r="26" spans="1:18" ht="3" customHeight="1" x14ac:dyDescent="0.25">
      <c r="A26" s="198"/>
      <c r="B26" s="192"/>
      <c r="C26" s="192"/>
      <c r="D26" s="192"/>
      <c r="E26" s="192"/>
      <c r="F26" s="192"/>
      <c r="G26" s="192"/>
      <c r="H26" s="192"/>
      <c r="I26" s="192"/>
      <c r="J26" s="192"/>
      <c r="K26" s="192"/>
      <c r="L26" s="192"/>
      <c r="M26" s="192"/>
      <c r="N26" s="192"/>
      <c r="Q26" s="195"/>
      <c r="R26" s="219"/>
    </row>
    <row r="27" spans="1:18" x14ac:dyDescent="0.25">
      <c r="A27" s="198"/>
      <c r="B27" s="192" t="s">
        <v>234</v>
      </c>
      <c r="C27" s="192"/>
      <c r="D27" s="192"/>
      <c r="E27" s="192"/>
      <c r="F27" s="192" t="s">
        <v>291</v>
      </c>
      <c r="G27" s="192"/>
      <c r="H27" s="192"/>
      <c r="I27" s="192"/>
      <c r="J27" s="540"/>
      <c r="K27" s="540"/>
      <c r="L27" s="540"/>
      <c r="M27" s="540"/>
      <c r="N27" s="540"/>
      <c r="O27" s="540"/>
      <c r="P27" s="540"/>
      <c r="Q27" s="195" t="s">
        <v>231</v>
      </c>
      <c r="R27" s="417"/>
    </row>
    <row r="28" spans="1:18" ht="9.75" customHeight="1" x14ac:dyDescent="0.25">
      <c r="A28" s="198"/>
      <c r="B28" s="192"/>
      <c r="C28" s="192"/>
      <c r="D28" s="192"/>
      <c r="E28" s="192"/>
      <c r="F28" s="194" t="s">
        <v>236</v>
      </c>
      <c r="G28" s="194"/>
      <c r="H28" s="194"/>
      <c r="I28" s="192"/>
      <c r="J28" s="192"/>
      <c r="K28" s="192"/>
      <c r="L28" s="192"/>
      <c r="M28" s="192"/>
      <c r="N28" s="192"/>
      <c r="R28" s="220"/>
    </row>
    <row r="29" spans="1:18" x14ac:dyDescent="0.25">
      <c r="A29" s="198">
        <v>3</v>
      </c>
      <c r="B29" s="192" t="s">
        <v>237</v>
      </c>
      <c r="C29" s="192"/>
      <c r="D29" s="192"/>
      <c r="E29" s="192"/>
      <c r="F29" s="192"/>
      <c r="G29" s="192"/>
      <c r="H29" s="192"/>
      <c r="I29" s="192"/>
      <c r="J29" s="192"/>
      <c r="K29" s="194" t="s">
        <v>236</v>
      </c>
      <c r="M29" s="192"/>
      <c r="N29" s="192"/>
      <c r="Q29" s="195" t="s">
        <v>231</v>
      </c>
      <c r="R29" s="220"/>
    </row>
    <row r="30" spans="1:18" x14ac:dyDescent="0.25">
      <c r="A30" s="198"/>
      <c r="B30" s="540"/>
      <c r="C30" s="540"/>
      <c r="D30" s="540"/>
      <c r="E30" s="540"/>
      <c r="F30" s="540"/>
      <c r="G30" s="540"/>
      <c r="H30" s="540"/>
      <c r="I30" s="540"/>
      <c r="J30" s="540"/>
      <c r="K30" s="540"/>
      <c r="L30" s="540"/>
      <c r="M30" s="540"/>
      <c r="N30" s="540"/>
      <c r="O30" s="540"/>
      <c r="P30" s="540"/>
      <c r="R30" s="417"/>
    </row>
    <row r="31" spans="1:18" ht="3" customHeight="1" x14ac:dyDescent="0.25">
      <c r="A31" s="198"/>
      <c r="B31" s="212"/>
      <c r="C31" s="212"/>
      <c r="D31" s="212"/>
      <c r="E31" s="212"/>
      <c r="F31" s="212"/>
      <c r="G31" s="212"/>
      <c r="H31" s="212"/>
      <c r="I31" s="212"/>
      <c r="J31" s="212"/>
      <c r="K31" s="212"/>
      <c r="L31" s="212"/>
      <c r="M31" s="212"/>
      <c r="N31" s="212"/>
      <c r="O31" s="212"/>
      <c r="P31" s="212"/>
      <c r="R31" s="218"/>
    </row>
    <row r="32" spans="1:18" x14ac:dyDescent="0.25">
      <c r="A32" s="198">
        <v>4</v>
      </c>
      <c r="B32" s="192" t="s">
        <v>238</v>
      </c>
      <c r="C32" s="192"/>
      <c r="D32" s="192"/>
      <c r="E32" s="192"/>
      <c r="F32" s="192"/>
      <c r="G32" s="192"/>
      <c r="H32" s="192"/>
      <c r="I32" s="540"/>
      <c r="J32" s="540"/>
      <c r="K32" s="540"/>
      <c r="L32" s="540"/>
      <c r="M32" s="540"/>
      <c r="N32" s="540"/>
      <c r="O32" s="540"/>
      <c r="P32" s="540"/>
      <c r="Q32" s="195" t="s">
        <v>231</v>
      </c>
      <c r="R32" s="417"/>
    </row>
    <row r="33" spans="1:18" ht="9" customHeight="1" x14ac:dyDescent="0.25">
      <c r="A33" s="198"/>
      <c r="B33" s="194" t="s">
        <v>236</v>
      </c>
      <c r="C33" s="192"/>
      <c r="D33" s="192"/>
      <c r="E33" s="192"/>
      <c r="F33" s="192"/>
      <c r="G33" s="192"/>
      <c r="H33" s="192"/>
      <c r="I33" s="192"/>
      <c r="J33" s="192"/>
      <c r="K33" s="192"/>
      <c r="L33" s="192"/>
      <c r="M33" s="192"/>
      <c r="N33" s="192"/>
      <c r="R33" s="220"/>
    </row>
    <row r="34" spans="1:18" x14ac:dyDescent="0.25">
      <c r="A34" s="198">
        <v>5</v>
      </c>
      <c r="B34" s="204" t="s">
        <v>239</v>
      </c>
      <c r="C34" s="204"/>
      <c r="D34" s="204"/>
      <c r="E34" s="204"/>
      <c r="F34" s="204"/>
      <c r="G34" s="204"/>
      <c r="H34" s="204"/>
      <c r="I34" s="204"/>
      <c r="J34" s="204"/>
      <c r="K34" s="204"/>
      <c r="L34" s="204"/>
      <c r="M34" s="204"/>
      <c r="N34" s="204"/>
      <c r="O34" s="206"/>
      <c r="P34" s="206"/>
      <c r="Q34" s="195" t="s">
        <v>231</v>
      </c>
      <c r="R34" s="417"/>
    </row>
    <row r="35" spans="1:18" ht="3" customHeight="1" x14ac:dyDescent="0.25">
      <c r="A35" s="198"/>
      <c r="B35" s="192"/>
      <c r="C35" s="192"/>
      <c r="D35" s="192"/>
      <c r="E35" s="192"/>
      <c r="F35" s="192"/>
      <c r="G35" s="192"/>
      <c r="H35" s="192"/>
      <c r="I35" s="192"/>
      <c r="J35" s="192"/>
      <c r="K35" s="192"/>
      <c r="L35" s="192"/>
      <c r="M35" s="192"/>
      <c r="N35" s="192"/>
      <c r="Q35" s="195"/>
      <c r="R35" s="219"/>
    </row>
    <row r="36" spans="1:18" x14ac:dyDescent="0.25">
      <c r="A36" s="198">
        <v>6</v>
      </c>
      <c r="B36" s="204" t="s">
        <v>240</v>
      </c>
      <c r="C36" s="204"/>
      <c r="D36" s="204"/>
      <c r="E36" s="204"/>
      <c r="F36" s="204"/>
      <c r="G36" s="204"/>
      <c r="H36" s="204"/>
      <c r="I36" s="204"/>
      <c r="J36" s="204"/>
      <c r="K36" s="204"/>
      <c r="L36" s="204"/>
      <c r="M36" s="204"/>
      <c r="N36" s="204"/>
      <c r="O36" s="206"/>
      <c r="P36" s="206"/>
      <c r="Q36" s="195" t="s">
        <v>231</v>
      </c>
      <c r="R36" s="417"/>
    </row>
    <row r="37" spans="1:18" ht="3" customHeight="1" x14ac:dyDescent="0.25">
      <c r="A37" s="198"/>
      <c r="B37" s="192"/>
      <c r="C37" s="192"/>
      <c r="D37" s="192"/>
      <c r="E37" s="192"/>
      <c r="F37" s="192"/>
      <c r="G37" s="192"/>
      <c r="H37" s="192"/>
      <c r="I37" s="192"/>
      <c r="J37" s="192"/>
      <c r="K37" s="192"/>
      <c r="L37" s="192"/>
      <c r="M37" s="192"/>
      <c r="N37" s="192"/>
      <c r="Q37" s="195"/>
      <c r="R37" s="219"/>
    </row>
    <row r="38" spans="1:18" x14ac:dyDescent="0.25">
      <c r="A38" s="198">
        <v>7</v>
      </c>
      <c r="B38" s="192" t="s">
        <v>241</v>
      </c>
      <c r="C38" s="192"/>
      <c r="D38" s="192"/>
      <c r="E38" s="192"/>
      <c r="F38" s="192"/>
      <c r="G38" s="192"/>
      <c r="H38" s="192"/>
      <c r="I38" s="540"/>
      <c r="J38" s="540"/>
      <c r="K38" s="540"/>
      <c r="L38" s="540"/>
      <c r="M38" s="540"/>
      <c r="N38" s="540"/>
      <c r="O38" s="540"/>
      <c r="P38" s="540"/>
      <c r="Q38" s="195" t="s">
        <v>231</v>
      </c>
      <c r="R38" s="417"/>
    </row>
    <row r="39" spans="1:18" ht="9" customHeight="1" x14ac:dyDescent="0.25">
      <c r="A39" s="198"/>
      <c r="B39" s="194" t="s">
        <v>236</v>
      </c>
      <c r="C39" s="192"/>
      <c r="D39" s="192"/>
      <c r="E39" s="192"/>
      <c r="F39" s="192"/>
      <c r="G39" s="192"/>
      <c r="H39" s="192"/>
      <c r="I39" s="192"/>
      <c r="J39" s="192"/>
      <c r="K39" s="192"/>
      <c r="L39" s="192"/>
      <c r="M39" s="192"/>
      <c r="N39" s="192"/>
      <c r="R39" s="220"/>
    </row>
    <row r="40" spans="1:18" x14ac:dyDescent="0.25">
      <c r="A40" s="198">
        <v>8</v>
      </c>
      <c r="B40" s="204" t="s">
        <v>242</v>
      </c>
      <c r="C40" s="204"/>
      <c r="D40" s="204"/>
      <c r="E40" s="204"/>
      <c r="F40" s="204"/>
      <c r="G40" s="204"/>
      <c r="H40" s="204"/>
      <c r="I40" s="204"/>
      <c r="J40" s="204"/>
      <c r="K40" s="204"/>
      <c r="L40" s="204"/>
      <c r="M40" s="204"/>
      <c r="N40" s="204"/>
      <c r="O40" s="206"/>
      <c r="P40" s="206"/>
      <c r="Q40" s="195" t="s">
        <v>243</v>
      </c>
      <c r="R40" s="417">
        <f>SUM(R21:R39)</f>
        <v>0</v>
      </c>
    </row>
    <row r="41" spans="1:18" ht="3" customHeight="1" x14ac:dyDescent="0.25">
      <c r="A41" s="198"/>
      <c r="B41" s="192"/>
      <c r="C41" s="192"/>
      <c r="D41" s="192"/>
      <c r="E41" s="192"/>
      <c r="F41" s="192"/>
      <c r="G41" s="192"/>
      <c r="H41" s="192"/>
      <c r="I41" s="192"/>
      <c r="J41" s="192"/>
      <c r="K41" s="192"/>
      <c r="L41" s="192"/>
      <c r="M41" s="192"/>
      <c r="N41" s="192"/>
      <c r="Q41" s="195"/>
      <c r="R41" s="219"/>
    </row>
    <row r="42" spans="1:18" x14ac:dyDescent="0.25">
      <c r="A42" s="198">
        <v>9</v>
      </c>
      <c r="B42" s="204" t="s">
        <v>244</v>
      </c>
      <c r="C42" s="204"/>
      <c r="D42" s="204"/>
      <c r="E42" s="204"/>
      <c r="F42" s="204"/>
      <c r="G42" s="204"/>
      <c r="H42" s="204"/>
      <c r="I42" s="204"/>
      <c r="J42" s="204"/>
      <c r="K42" s="204"/>
      <c r="L42" s="204"/>
      <c r="M42" s="204"/>
      <c r="N42" s="204"/>
      <c r="O42" s="206"/>
      <c r="P42" s="206"/>
      <c r="Q42" s="195" t="s">
        <v>33</v>
      </c>
      <c r="R42" s="417">
        <f>('AP 9'!Q40+'AP 9'!Q41+'AP 9'!Q42)*-1</f>
        <v>0</v>
      </c>
    </row>
    <row r="43" spans="1:18" ht="3" customHeight="1" x14ac:dyDescent="0.25">
      <c r="A43" s="198"/>
      <c r="B43" s="192"/>
      <c r="C43" s="192"/>
      <c r="D43" s="192"/>
      <c r="E43" s="192"/>
      <c r="F43" s="192"/>
      <c r="G43" s="192"/>
      <c r="H43" s="192"/>
      <c r="I43" s="192"/>
      <c r="J43" s="192"/>
      <c r="K43" s="192"/>
      <c r="L43" s="192"/>
      <c r="M43" s="192"/>
      <c r="N43" s="192"/>
      <c r="Q43" s="195"/>
      <c r="R43" s="219"/>
    </row>
    <row r="44" spans="1:18" x14ac:dyDescent="0.25">
      <c r="A44" s="198">
        <v>10</v>
      </c>
      <c r="B44" s="192" t="s">
        <v>245</v>
      </c>
      <c r="C44" s="192"/>
      <c r="D44" s="192"/>
      <c r="E44" s="192" t="s">
        <v>246</v>
      </c>
      <c r="F44" s="192"/>
      <c r="G44" s="192"/>
      <c r="H44" s="204" t="s">
        <v>292</v>
      </c>
      <c r="I44" s="206"/>
      <c r="J44" s="204"/>
      <c r="K44" s="204"/>
      <c r="L44" s="204"/>
      <c r="M44" s="204"/>
      <c r="N44" s="204"/>
      <c r="O44" s="206"/>
      <c r="P44" s="206"/>
      <c r="Q44" s="195" t="s">
        <v>33</v>
      </c>
      <c r="R44" s="417">
        <f>'AP 9'!Q44*-1</f>
        <v>0</v>
      </c>
    </row>
    <row r="45" spans="1:18" x14ac:dyDescent="0.25">
      <c r="A45" s="198"/>
      <c r="B45" s="192" t="s">
        <v>248</v>
      </c>
      <c r="C45" s="192"/>
      <c r="D45" s="192"/>
      <c r="E45" s="192" t="s">
        <v>293</v>
      </c>
      <c r="F45" s="192"/>
      <c r="G45" s="192"/>
      <c r="H45" s="192"/>
      <c r="J45" s="192"/>
      <c r="K45" s="192"/>
      <c r="L45" s="192"/>
      <c r="M45" s="192"/>
      <c r="N45" s="192"/>
      <c r="R45" s="220"/>
    </row>
    <row r="46" spans="1:18" x14ac:dyDescent="0.25">
      <c r="A46" s="198"/>
      <c r="B46" s="192" t="s">
        <v>250</v>
      </c>
      <c r="C46" s="192"/>
      <c r="E46" s="192" t="s">
        <v>294</v>
      </c>
      <c r="H46" s="204" t="s">
        <v>295</v>
      </c>
      <c r="I46" s="206"/>
      <c r="J46" s="206"/>
      <c r="K46" s="206"/>
      <c r="L46" s="206"/>
      <c r="M46" s="206"/>
      <c r="N46" s="206"/>
      <c r="O46" s="206"/>
      <c r="P46" s="206"/>
      <c r="Q46" s="195" t="s">
        <v>33</v>
      </c>
      <c r="R46" s="417"/>
    </row>
    <row r="47" spans="1:18" ht="3" customHeight="1" x14ac:dyDescent="0.25">
      <c r="A47" s="198"/>
      <c r="B47" s="192"/>
      <c r="C47" s="192"/>
      <c r="E47" s="192"/>
      <c r="H47" s="192"/>
      <c r="Q47" s="195"/>
      <c r="R47" s="219"/>
    </row>
    <row r="48" spans="1:18" x14ac:dyDescent="0.25">
      <c r="A48" s="198">
        <v>11</v>
      </c>
      <c r="B48" s="207" t="s">
        <v>253</v>
      </c>
      <c r="C48" s="204"/>
      <c r="D48" s="206"/>
      <c r="E48" s="206"/>
      <c r="F48" s="206"/>
      <c r="G48" s="206"/>
      <c r="H48" s="206"/>
      <c r="I48" s="206"/>
      <c r="J48" s="206"/>
      <c r="K48" s="206"/>
      <c r="L48" s="206"/>
      <c r="M48" s="206"/>
      <c r="N48" s="206"/>
      <c r="O48" s="206"/>
      <c r="P48" s="206"/>
      <c r="Q48" s="195" t="s">
        <v>243</v>
      </c>
      <c r="R48" s="417">
        <f>R40-SUM(R42:R46)</f>
        <v>0</v>
      </c>
    </row>
    <row r="49" spans="1:18" ht="9" customHeight="1" x14ac:dyDescent="0.25">
      <c r="A49" s="198"/>
      <c r="B49" s="199" t="s">
        <v>254</v>
      </c>
      <c r="C49" s="192"/>
      <c r="R49" s="220"/>
    </row>
    <row r="50" spans="1:18" x14ac:dyDescent="0.25">
      <c r="A50" s="198">
        <v>12</v>
      </c>
      <c r="B50" s="204" t="s">
        <v>255</v>
      </c>
      <c r="C50" s="204"/>
      <c r="D50" s="206"/>
      <c r="E50" s="206"/>
      <c r="F50" s="206"/>
      <c r="G50" s="206"/>
      <c r="H50" s="206"/>
      <c r="I50" s="206"/>
      <c r="J50" s="206"/>
      <c r="K50" s="206"/>
      <c r="L50" s="206"/>
      <c r="M50" s="206"/>
      <c r="N50" s="206"/>
      <c r="O50" s="206"/>
      <c r="P50" s="206"/>
      <c r="R50" s="418">
        <f>'AP 9'!Q46*-1</f>
        <v>0</v>
      </c>
    </row>
    <row r="51" spans="1:18" x14ac:dyDescent="0.25">
      <c r="A51" s="198">
        <v>13</v>
      </c>
      <c r="B51" s="192" t="s">
        <v>256</v>
      </c>
      <c r="C51" s="192"/>
      <c r="R51" s="221"/>
    </row>
    <row r="52" spans="1:18" ht="9" customHeight="1" x14ac:dyDescent="0.25">
      <c r="B52" s="194" t="s">
        <v>257</v>
      </c>
      <c r="R52" s="221"/>
    </row>
    <row r="53" spans="1:18" ht="13.5" customHeight="1" x14ac:dyDescent="0.25">
      <c r="A53" s="543">
        <v>13.1</v>
      </c>
      <c r="B53" s="543"/>
      <c r="C53" s="545" t="s">
        <v>258</v>
      </c>
      <c r="D53" s="200" t="s">
        <v>259</v>
      </c>
      <c r="E53" s="204" t="s">
        <v>260</v>
      </c>
      <c r="F53" s="204"/>
      <c r="G53" s="204"/>
      <c r="H53" s="204"/>
      <c r="I53" s="206"/>
      <c r="J53" s="206"/>
      <c r="K53" s="206"/>
      <c r="L53" s="206"/>
      <c r="M53" s="206"/>
      <c r="N53" s="206"/>
      <c r="O53" s="206"/>
      <c r="P53" s="413" t="s">
        <v>203</v>
      </c>
      <c r="R53" s="419"/>
    </row>
    <row r="54" spans="1:18" ht="3" customHeight="1" x14ac:dyDescent="0.25">
      <c r="A54" s="213"/>
      <c r="B54" s="213"/>
      <c r="C54" s="545"/>
      <c r="D54" s="200"/>
      <c r="E54" s="192"/>
      <c r="F54" s="192"/>
      <c r="G54" s="192"/>
      <c r="H54" s="192"/>
      <c r="R54" s="222"/>
    </row>
    <row r="55" spans="1:18" x14ac:dyDescent="0.25">
      <c r="A55" s="198"/>
      <c r="B55" s="198"/>
      <c r="C55" s="545"/>
      <c r="D55" s="201" t="s">
        <v>261</v>
      </c>
      <c r="E55" s="192" t="s">
        <v>262</v>
      </c>
      <c r="F55" s="192"/>
      <c r="G55" s="192"/>
      <c r="H55" s="192"/>
      <c r="I55" s="539"/>
      <c r="J55" s="539"/>
      <c r="K55" s="539"/>
      <c r="L55" s="539"/>
      <c r="M55" s="539"/>
      <c r="N55" s="539"/>
      <c r="O55" s="539"/>
      <c r="P55" s="539"/>
      <c r="R55" s="419"/>
    </row>
    <row r="56" spans="1:18" ht="9" customHeight="1" x14ac:dyDescent="0.25">
      <c r="A56" s="198"/>
      <c r="B56" s="198"/>
      <c r="C56" s="545"/>
      <c r="D56" s="202"/>
      <c r="E56" s="197" t="s">
        <v>236</v>
      </c>
      <c r="R56" s="221"/>
    </row>
    <row r="57" spans="1:18" x14ac:dyDescent="0.25">
      <c r="A57" s="544">
        <v>13.2</v>
      </c>
      <c r="B57" s="544"/>
      <c r="C57" s="192" t="s">
        <v>263</v>
      </c>
      <c r="D57" s="201" t="s">
        <v>264</v>
      </c>
      <c r="E57" s="204" t="s">
        <v>265</v>
      </c>
      <c r="F57" s="206"/>
      <c r="G57" s="206"/>
      <c r="H57" s="206"/>
      <c r="I57" s="206"/>
      <c r="J57" s="206"/>
      <c r="K57" s="206"/>
      <c r="L57" s="206"/>
      <c r="M57" s="206"/>
      <c r="N57" s="206"/>
      <c r="O57" s="206"/>
      <c r="P57" s="206"/>
      <c r="R57" s="419"/>
    </row>
    <row r="58" spans="1:18" ht="3" customHeight="1" x14ac:dyDescent="0.25">
      <c r="A58" s="214"/>
      <c r="B58" s="214"/>
      <c r="C58" s="192"/>
      <c r="D58" s="201"/>
      <c r="E58" s="192"/>
      <c r="R58" s="223"/>
    </row>
    <row r="59" spans="1:18" x14ac:dyDescent="0.25">
      <c r="A59" s="198"/>
      <c r="B59" s="198"/>
      <c r="C59" s="192" t="s">
        <v>266</v>
      </c>
      <c r="D59" s="201" t="s">
        <v>267</v>
      </c>
      <c r="E59" s="204" t="s">
        <v>268</v>
      </c>
      <c r="F59" s="206"/>
      <c r="G59" s="206"/>
      <c r="H59" s="206"/>
      <c r="I59" s="206"/>
      <c r="J59" s="206"/>
      <c r="K59" s="206"/>
      <c r="L59" s="206"/>
      <c r="M59" s="206"/>
      <c r="N59" s="206"/>
      <c r="O59" s="206"/>
      <c r="P59" s="206"/>
      <c r="R59" s="419"/>
    </row>
    <row r="60" spans="1:18" ht="3" customHeight="1" x14ac:dyDescent="0.25">
      <c r="A60" s="198"/>
      <c r="B60" s="198"/>
      <c r="C60" s="192"/>
      <c r="D60" s="201"/>
      <c r="E60" s="192"/>
      <c r="I60" s="211"/>
      <c r="J60" s="211"/>
      <c r="K60" s="211"/>
      <c r="L60" s="211"/>
      <c r="M60" s="211"/>
      <c r="N60" s="211"/>
      <c r="O60" s="211"/>
      <c r="P60" s="211"/>
      <c r="R60" s="223"/>
    </row>
    <row r="61" spans="1:18" x14ac:dyDescent="0.25">
      <c r="A61" s="198"/>
      <c r="B61" s="198"/>
      <c r="C61" s="192" t="s">
        <v>269</v>
      </c>
      <c r="D61" s="201" t="s">
        <v>270</v>
      </c>
      <c r="E61" s="192" t="s">
        <v>262</v>
      </c>
      <c r="I61" s="539"/>
      <c r="J61" s="539"/>
      <c r="K61" s="539"/>
      <c r="L61" s="539"/>
      <c r="M61" s="539"/>
      <c r="N61" s="539"/>
      <c r="O61" s="539"/>
      <c r="P61" s="539"/>
      <c r="R61" s="419"/>
    </row>
    <row r="62" spans="1:18" ht="9" customHeight="1" x14ac:dyDescent="0.25">
      <c r="B62" s="192"/>
      <c r="C62" s="192"/>
      <c r="E62" s="197" t="s">
        <v>236</v>
      </c>
      <c r="R62" s="221"/>
    </row>
    <row r="63" spans="1:18" x14ac:dyDescent="0.25">
      <c r="A63" s="543">
        <v>13.3</v>
      </c>
      <c r="B63" s="543"/>
      <c r="C63" s="204" t="s">
        <v>271</v>
      </c>
      <c r="D63" s="206"/>
      <c r="E63" s="206"/>
      <c r="F63" s="206"/>
      <c r="G63" s="206"/>
      <c r="H63" s="206"/>
      <c r="I63" s="206"/>
      <c r="J63" s="206"/>
      <c r="K63" s="206"/>
      <c r="L63" s="206"/>
      <c r="M63" s="206"/>
      <c r="N63" s="206"/>
      <c r="O63" s="206"/>
      <c r="P63" s="206"/>
      <c r="R63" s="419"/>
    </row>
    <row r="64" spans="1:18" ht="3" customHeight="1" x14ac:dyDescent="0.25">
      <c r="A64" s="213"/>
      <c r="B64" s="213"/>
      <c r="C64" s="192"/>
    </row>
    <row r="65" spans="1:18" x14ac:dyDescent="0.25">
      <c r="A65" s="198">
        <v>14</v>
      </c>
      <c r="B65" s="192" t="s">
        <v>272</v>
      </c>
      <c r="C65" s="192"/>
      <c r="F65" s="192" t="s">
        <v>273</v>
      </c>
      <c r="G65" s="192"/>
      <c r="H65" s="192"/>
      <c r="I65" s="539"/>
      <c r="J65" s="539"/>
      <c r="K65" s="539"/>
      <c r="L65" s="539"/>
      <c r="M65" s="539"/>
      <c r="N65" s="539"/>
      <c r="O65" s="539"/>
      <c r="P65" s="539"/>
      <c r="Q65" s="539"/>
      <c r="R65" s="539"/>
    </row>
    <row r="66" spans="1:18" ht="3" customHeight="1" x14ac:dyDescent="0.25">
      <c r="A66" s="198"/>
      <c r="B66" s="192"/>
      <c r="C66" s="192"/>
      <c r="D66" s="215"/>
      <c r="E66" s="215"/>
      <c r="F66" s="215"/>
      <c r="G66" s="215"/>
      <c r="H66" s="215"/>
      <c r="I66" s="215"/>
      <c r="J66" s="215"/>
      <c r="K66" s="215"/>
      <c r="L66" s="215"/>
      <c r="M66" s="215"/>
      <c r="N66" s="215"/>
      <c r="O66" s="215"/>
      <c r="P66" s="215"/>
      <c r="Q66" s="215"/>
      <c r="R66" s="215"/>
    </row>
    <row r="67" spans="1:18" x14ac:dyDescent="0.25">
      <c r="A67" s="198"/>
      <c r="B67" s="192" t="s">
        <v>274</v>
      </c>
      <c r="C67" s="192"/>
      <c r="F67" s="192" t="s">
        <v>275</v>
      </c>
      <c r="G67" s="192"/>
      <c r="H67" s="192"/>
      <c r="I67" s="539"/>
      <c r="J67" s="539"/>
      <c r="K67" s="539"/>
      <c r="L67" s="539"/>
      <c r="M67" s="539"/>
      <c r="N67" s="539"/>
      <c r="O67" s="539"/>
      <c r="P67" s="539"/>
      <c r="Q67" s="539"/>
      <c r="R67" s="539"/>
    </row>
    <row r="68" spans="1:18" ht="3" customHeight="1" x14ac:dyDescent="0.25">
      <c r="A68" s="198"/>
      <c r="B68" s="192"/>
      <c r="C68" s="192"/>
      <c r="D68" s="215"/>
      <c r="E68" s="215"/>
      <c r="F68" s="215"/>
      <c r="G68" s="215"/>
      <c r="H68" s="215"/>
      <c r="I68" s="215"/>
      <c r="J68" s="215"/>
      <c r="K68" s="215"/>
      <c r="L68" s="215"/>
      <c r="M68" s="215"/>
      <c r="N68" s="215"/>
      <c r="O68" s="215"/>
      <c r="P68" s="215"/>
      <c r="Q68" s="215"/>
      <c r="R68" s="215"/>
    </row>
    <row r="69" spans="1:18" x14ac:dyDescent="0.25">
      <c r="A69" s="198"/>
      <c r="B69" s="192" t="s">
        <v>276</v>
      </c>
      <c r="C69" s="192"/>
      <c r="F69" s="192" t="s">
        <v>277</v>
      </c>
      <c r="G69" s="192"/>
      <c r="H69" s="192"/>
      <c r="I69" s="539"/>
      <c r="J69" s="539"/>
      <c r="K69" s="539"/>
      <c r="L69" s="539"/>
      <c r="M69" s="539"/>
      <c r="N69" s="539"/>
      <c r="O69" s="539"/>
      <c r="P69" s="539"/>
      <c r="Q69" s="539"/>
      <c r="R69" s="539"/>
    </row>
    <row r="70" spans="1:18" ht="3" customHeight="1" x14ac:dyDescent="0.25">
      <c r="A70" s="198"/>
      <c r="B70" s="192"/>
      <c r="C70" s="192"/>
      <c r="D70" s="215"/>
      <c r="E70" s="215"/>
      <c r="F70" s="215"/>
      <c r="G70" s="215"/>
      <c r="H70" s="215"/>
      <c r="I70" s="215"/>
      <c r="J70" s="215"/>
      <c r="K70" s="215"/>
      <c r="L70" s="215"/>
      <c r="M70" s="215"/>
      <c r="N70" s="215"/>
      <c r="O70" s="215"/>
      <c r="P70" s="215"/>
      <c r="Q70" s="215"/>
      <c r="R70" s="215"/>
    </row>
    <row r="71" spans="1:18" x14ac:dyDescent="0.25">
      <c r="A71" s="198">
        <v>15</v>
      </c>
      <c r="B71" s="192" t="s">
        <v>142</v>
      </c>
      <c r="C71" s="192"/>
      <c r="D71" s="547" t="str">
        <f>IF('AP 9'!L7&lt;100%,"Teilzeitpensum "&amp;('AP 9'!L7+'AP 9'!L12)*100&amp;"%","")</f>
        <v>Teilzeitpensum 0%</v>
      </c>
      <c r="E71" s="547"/>
      <c r="F71" s="547"/>
      <c r="G71" s="547"/>
      <c r="H71" s="547"/>
      <c r="I71" s="547"/>
      <c r="J71" s="547"/>
      <c r="K71" s="547"/>
      <c r="L71" s="547"/>
      <c r="M71" s="547"/>
      <c r="N71" s="547"/>
      <c r="O71" s="547"/>
      <c r="P71" s="547"/>
      <c r="Q71" s="547"/>
      <c r="R71" s="547"/>
    </row>
    <row r="72" spans="1:18" ht="3" customHeight="1" x14ac:dyDescent="0.25">
      <c r="A72" s="198"/>
      <c r="B72" s="192"/>
      <c r="C72" s="192"/>
      <c r="D72" s="226"/>
      <c r="E72" s="226"/>
      <c r="F72" s="226"/>
      <c r="G72" s="226"/>
      <c r="H72" s="226"/>
      <c r="I72" s="226"/>
      <c r="J72" s="226"/>
      <c r="K72" s="226"/>
      <c r="L72" s="226"/>
      <c r="M72" s="226"/>
      <c r="N72" s="226"/>
      <c r="O72" s="226"/>
      <c r="P72" s="226"/>
      <c r="Q72" s="226"/>
      <c r="R72" s="226"/>
    </row>
    <row r="73" spans="1:18" x14ac:dyDescent="0.25">
      <c r="A73" s="198"/>
      <c r="B73" s="192" t="s">
        <v>278</v>
      </c>
      <c r="C73" s="192"/>
      <c r="D73" s="537"/>
      <c r="E73" s="537"/>
      <c r="F73" s="537"/>
      <c r="G73" s="537"/>
      <c r="H73" s="537"/>
      <c r="I73" s="537"/>
      <c r="J73" s="537"/>
      <c r="K73" s="537"/>
      <c r="L73" s="537"/>
      <c r="M73" s="537"/>
      <c r="N73" s="537"/>
      <c r="O73" s="537"/>
      <c r="P73" s="537"/>
      <c r="Q73" s="537"/>
      <c r="R73" s="537"/>
    </row>
    <row r="74" spans="1:18" ht="3" customHeight="1" x14ac:dyDescent="0.25">
      <c r="A74" s="198"/>
      <c r="B74" s="192"/>
      <c r="C74" s="192"/>
      <c r="D74" s="226"/>
      <c r="E74" s="226"/>
      <c r="F74" s="226"/>
      <c r="G74" s="226"/>
      <c r="H74" s="226"/>
      <c r="I74" s="226"/>
      <c r="J74" s="226"/>
      <c r="K74" s="226"/>
      <c r="L74" s="226"/>
      <c r="M74" s="226"/>
      <c r="N74" s="226"/>
      <c r="O74" s="226"/>
      <c r="P74" s="226"/>
      <c r="Q74" s="226"/>
      <c r="R74" s="226"/>
    </row>
    <row r="75" spans="1:18" x14ac:dyDescent="0.25">
      <c r="A75" s="198"/>
      <c r="B75" s="192" t="s">
        <v>279</v>
      </c>
      <c r="C75" s="192"/>
      <c r="D75" s="537"/>
      <c r="E75" s="537"/>
      <c r="F75" s="537"/>
      <c r="G75" s="537"/>
      <c r="H75" s="537"/>
      <c r="I75" s="537"/>
      <c r="J75" s="537"/>
      <c r="K75" s="537"/>
      <c r="L75" s="537"/>
      <c r="M75" s="537"/>
      <c r="N75" s="537"/>
      <c r="O75" s="537"/>
      <c r="P75" s="537"/>
      <c r="Q75" s="537"/>
      <c r="R75" s="537"/>
    </row>
    <row r="76" spans="1:18" x14ac:dyDescent="0.25">
      <c r="A76" s="198"/>
      <c r="B76" s="192"/>
      <c r="C76" s="192"/>
    </row>
    <row r="77" spans="1:18" x14ac:dyDescent="0.25">
      <c r="A77" s="198" t="s">
        <v>280</v>
      </c>
      <c r="B77" s="192" t="s">
        <v>281</v>
      </c>
      <c r="C77" s="192"/>
      <c r="F77" s="192" t="s">
        <v>282</v>
      </c>
      <c r="G77" s="192"/>
      <c r="M77" s="548">
        <f>'Lohnbescheinigung (ordentlich)'!A8:A8</f>
        <v>0</v>
      </c>
      <c r="N77" s="548"/>
      <c r="O77" s="548"/>
      <c r="P77" s="548"/>
      <c r="Q77" s="548"/>
      <c r="R77" s="548"/>
    </row>
    <row r="78" spans="1:18" ht="9" customHeight="1" x14ac:dyDescent="0.25">
      <c r="B78" s="192"/>
      <c r="C78" s="192"/>
      <c r="F78" s="194" t="s">
        <v>283</v>
      </c>
      <c r="G78" s="194"/>
      <c r="M78" s="224"/>
      <c r="N78" s="224"/>
      <c r="O78" s="224"/>
      <c r="P78" s="224"/>
      <c r="Q78" s="224"/>
      <c r="R78" s="224"/>
    </row>
    <row r="79" spans="1:18" ht="13.5" customHeight="1" x14ac:dyDescent="0.25">
      <c r="B79" s="192"/>
      <c r="C79" s="192"/>
      <c r="F79" s="192" t="s">
        <v>284</v>
      </c>
      <c r="G79" s="192"/>
      <c r="M79" s="548">
        <f>'Lohnbescheinigung (ordentlich)'!A9:A9</f>
        <v>0</v>
      </c>
      <c r="N79" s="548"/>
      <c r="O79" s="548"/>
      <c r="P79" s="548"/>
      <c r="Q79" s="548"/>
      <c r="R79" s="548"/>
    </row>
    <row r="80" spans="1:18" ht="9" customHeight="1" x14ac:dyDescent="0.25">
      <c r="B80" s="192"/>
      <c r="C80" s="192"/>
      <c r="F80" s="194" t="s">
        <v>285</v>
      </c>
      <c r="G80" s="194"/>
      <c r="M80" s="224"/>
      <c r="N80" s="224"/>
      <c r="O80" s="224"/>
      <c r="P80" s="224"/>
      <c r="Q80" s="224"/>
      <c r="R80" s="224"/>
    </row>
    <row r="81" spans="2:18" ht="13.5" customHeight="1" x14ac:dyDescent="0.25">
      <c r="B81" s="192"/>
      <c r="C81" s="192"/>
      <c r="F81" s="192" t="s">
        <v>286</v>
      </c>
      <c r="G81" s="192"/>
      <c r="M81" s="548">
        <f>'Lohnbescheinigung (ordentlich)'!A10:A10</f>
        <v>0</v>
      </c>
      <c r="N81" s="548"/>
      <c r="O81" s="548"/>
      <c r="P81" s="548"/>
      <c r="Q81" s="548"/>
      <c r="R81" s="548"/>
    </row>
    <row r="82" spans="2:18" ht="9" customHeight="1" x14ac:dyDescent="0.25">
      <c r="B82" s="192"/>
      <c r="C82" s="192"/>
      <c r="F82" s="194" t="s">
        <v>287</v>
      </c>
      <c r="G82" s="194"/>
      <c r="M82" s="225"/>
      <c r="N82" s="225"/>
      <c r="O82" s="225"/>
      <c r="P82" s="225"/>
      <c r="Q82" s="225"/>
      <c r="R82" s="225"/>
    </row>
    <row r="83" spans="2:18" x14ac:dyDescent="0.25">
      <c r="B83" s="192"/>
      <c r="C83" s="192"/>
      <c r="I83" s="192"/>
      <c r="M83" s="548" t="str">
        <f>'LA 1'!M83:R83</f>
        <v>Tel-Nummer hier eintragen</v>
      </c>
      <c r="N83" s="548"/>
      <c r="O83" s="548"/>
      <c r="P83" s="548"/>
      <c r="Q83" s="548"/>
      <c r="R83" s="548"/>
    </row>
    <row r="84" spans="2:18" x14ac:dyDescent="0.25">
      <c r="B84" s="192"/>
      <c r="C84" s="192"/>
    </row>
  </sheetData>
  <sheetProtection algorithmName="SHA-512" hashValue="+/z2FDMyOTCeoK7QF+1e3QZio6Voihiswaq8Oea8apVqNE05U24erBumszAc1e3qxPNSk/1SspZtAlZe7hxKMQ==" saltValue="X3Q1e124YDZp+t3sg5ISag==" spinCount="100000" sheet="1" objects="1" scenarios="1"/>
  <mergeCells count="27">
    <mergeCell ref="M83:R83"/>
    <mergeCell ref="D71:R71"/>
    <mergeCell ref="D73:R73"/>
    <mergeCell ref="D75:R75"/>
    <mergeCell ref="M77:R77"/>
    <mergeCell ref="M79:R79"/>
    <mergeCell ref="M81:R81"/>
    <mergeCell ref="I69:R69"/>
    <mergeCell ref="R18:R20"/>
    <mergeCell ref="J27:P27"/>
    <mergeCell ref="B30:P30"/>
    <mergeCell ref="I32:P32"/>
    <mergeCell ref="I38:P38"/>
    <mergeCell ref="A53:B53"/>
    <mergeCell ref="C53:C56"/>
    <mergeCell ref="I55:P55"/>
    <mergeCell ref="A57:B57"/>
    <mergeCell ref="I61:P61"/>
    <mergeCell ref="A63:B63"/>
    <mergeCell ref="I65:R65"/>
    <mergeCell ref="I67:R67"/>
    <mergeCell ref="O5:R6"/>
    <mergeCell ref="B7:C7"/>
    <mergeCell ref="I7:J7"/>
    <mergeCell ref="O7:R8"/>
    <mergeCell ref="H5:K5"/>
    <mergeCell ref="B5:F5"/>
  </mergeCells>
  <pageMargins left="0.39370078740157483" right="7.874015748031496E-2" top="0.39370078740157483" bottom="0.39370078740157483" header="0.31496062992125984" footer="0.31496062992125984"/>
  <pageSetup paperSize="9" scale="9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3'!Z6="vereinfacht",'AP 4'!Z6="vereinfacht",'AP 5'!Z6="vereinfacht",'AP 6'!Z6="vereinfacht",'AP 7'!Z6="vereinfacht",'AP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1'!Z6="vereinfacht",'AP 3'!Z6="vereinfacht",'AP 4'!Z6="vereinfacht",'AP 5'!Z6="vereinfacht",'AP 6'!Z6="vereinfacht",'AP 7'!Z6="vereinfacht",'AP 8'!Z6="vereinfacht",'AP 9'!Z6="vereinfacht"),(AND(Z7="ordentlich",'AP 1'!Z7="ordentlich",'AP 3'!Z7="ordentlich",'AP 4'!Z7="ordentlich",'AP 5'!Z7="ordentlich",'AP 6'!Z7="ordentlich",'AP 7'!Z7="ordentlich",'AP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C37-C36-C35-C38</f>
        <v>0</v>
      </c>
      <c r="D39" s="299">
        <f t="shared" ref="D39:H39" si="24">D37-D36-D35-D38</f>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XSSQHTGg3u8/mxB1VHzDXzUdEI/t3RTBlFDlAJRv5LBlxlmuJrgJN2oUmx0v7m+bt7lJiMVXGL+Ne5E1Tzdr2A==" saltValue="D09NuiYJn5RyZyMGcptOlg==" spinCount="100000" sheet="1" objects="1" scenarios="1"/>
  <mergeCells count="49">
    <mergeCell ref="M52:M53"/>
    <mergeCell ref="N52:N53"/>
    <mergeCell ref="O52:O53"/>
    <mergeCell ref="P52:P53"/>
    <mergeCell ref="S24:U26"/>
    <mergeCell ref="S28:U30"/>
    <mergeCell ref="S31:U32"/>
    <mergeCell ref="S33:U35"/>
    <mergeCell ref="S36:U40"/>
    <mergeCell ref="S41:U43"/>
    <mergeCell ref="AB4:AB5"/>
    <mergeCell ref="AC4:AC5"/>
    <mergeCell ref="AD4:AD5"/>
    <mergeCell ref="AH4:AI5"/>
    <mergeCell ref="C6:D6"/>
    <mergeCell ref="F6:G6"/>
    <mergeCell ref="P1:Q3"/>
    <mergeCell ref="A2:C2"/>
    <mergeCell ref="I2:K2"/>
    <mergeCell ref="Y2:Y5"/>
    <mergeCell ref="AA2:AA5"/>
    <mergeCell ref="I4:L4"/>
    <mergeCell ref="S4:T4"/>
    <mergeCell ref="X4:X5"/>
    <mergeCell ref="Z4:Z5"/>
    <mergeCell ref="A1:C1"/>
    <mergeCell ref="D1:F2"/>
    <mergeCell ref="G1:H3"/>
    <mergeCell ref="I1:K1"/>
    <mergeCell ref="L1:N2"/>
    <mergeCell ref="C7:D7"/>
    <mergeCell ref="F7:G7"/>
    <mergeCell ref="C8:D8"/>
    <mergeCell ref="F8:G8"/>
    <mergeCell ref="C9:D9"/>
    <mergeCell ref="F9:G9"/>
    <mergeCell ref="F14:G14"/>
    <mergeCell ref="F15:G15"/>
    <mergeCell ref="F16:G16"/>
    <mergeCell ref="S18:U18"/>
    <mergeCell ref="S20:U22"/>
    <mergeCell ref="K52:K53"/>
    <mergeCell ref="C52:C53"/>
    <mergeCell ref="L52:L53"/>
    <mergeCell ref="D52:D53"/>
    <mergeCell ref="E52:E53"/>
    <mergeCell ref="F52:F53"/>
    <mergeCell ref="G52:G53"/>
    <mergeCell ref="H52:H53"/>
  </mergeCells>
  <conditionalFormatting sqref="A25">
    <cfRule type="beginsWith" dxfId="569" priority="19" operator="beginsWith" text="Anz">
      <formula>LEFT(A25,LEN("Anz"))="Anz"</formula>
    </cfRule>
  </conditionalFormatting>
  <conditionalFormatting sqref="A26">
    <cfRule type="containsText" dxfId="568" priority="49" operator="containsText" text="Anzahl Stunden I">
      <formula>NOT(ISERROR(SEARCH("Anzahl Stunden I",A26)))</formula>
    </cfRule>
    <cfRule type="containsText" dxfId="567" priority="48" operator="containsText" text="Anzahl Stunden Standard">
      <formula>NOT(ISERROR(SEARCH("Anzahl Stunden Standard",A26)))</formula>
    </cfRule>
    <cfRule type="containsText" dxfId="566" priority="44" operator="containsText" text="Anzahl Stunden">
      <formula>NOT(ISERROR(SEARCH("Anzahl Stunden",A26)))</formula>
    </cfRule>
  </conditionalFormatting>
  <conditionalFormatting sqref="A28">
    <cfRule type="containsText" dxfId="565" priority="46" operator="containsText" text="Anzahl Stunden Quali B">
      <formula>NOT(ISERROR(SEARCH("Anzahl Stunden Quali B",A28)))</formula>
    </cfRule>
    <cfRule type="containsText" dxfId="564" priority="47" operator="containsText" text="Anzahl Stunden II">
      <formula>NOT(ISERROR(SEARCH("Anzahl Stunden II",A28)))</formula>
    </cfRule>
  </conditionalFormatting>
  <conditionalFormatting sqref="A24:B24">
    <cfRule type="expression" dxfId="563" priority="45">
      <formula>$G$11="ja"</formula>
    </cfRule>
  </conditionalFormatting>
  <conditionalFormatting sqref="A25:B25">
    <cfRule type="expression" dxfId="562" priority="39">
      <formula>$P$10&gt;0.1</formula>
    </cfRule>
  </conditionalFormatting>
  <conditionalFormatting sqref="A50:B50">
    <cfRule type="expression" dxfId="561" priority="171">
      <formula>$G$11="ja"</formula>
    </cfRule>
  </conditionalFormatting>
  <conditionalFormatting sqref="A60:Q64">
    <cfRule type="expression" dxfId="560" priority="59">
      <formula>$G$12="nein"</formula>
    </cfRule>
  </conditionalFormatting>
  <conditionalFormatting sqref="B25">
    <cfRule type="beginsWith" dxfId="559" priority="18" operator="beginsWith" text="Anz">
      <formula>LEFT(B25,LEN("Anz"))="Anz"</formula>
    </cfRule>
  </conditionalFormatting>
  <conditionalFormatting sqref="B26">
    <cfRule type="containsText" dxfId="558" priority="36" operator="containsText" text="Std.">
      <formula>NOT(ISERROR(SEARCH("Std.",B26)))</formula>
    </cfRule>
    <cfRule type="containsText" dxfId="557" priority="37" operator="containsText" text="Std.">
      <formula>NOT(ISERROR(SEARCH("Std.",B26)))</formula>
    </cfRule>
    <cfRule type="containsText" dxfId="556" priority="38" operator="containsText" text="Std.">
      <formula>NOT(ISERROR(SEARCH("Std.",B26)))</formula>
    </cfRule>
  </conditionalFormatting>
  <conditionalFormatting sqref="B28">
    <cfRule type="containsText" dxfId="555" priority="33" operator="containsText" text="Std.">
      <formula>NOT(ISERROR(SEARCH("Std.",B28)))</formula>
    </cfRule>
    <cfRule type="containsText" dxfId="554" priority="34" operator="containsText" text="Std.">
      <formula>NOT(ISERROR(SEARCH("Std.",B28)))</formula>
    </cfRule>
    <cfRule type="containsText" dxfId="553" priority="35" operator="containsText" text="Std.">
      <formula>NOT(ISERROR(SEARCH("Std.",B28)))</formula>
    </cfRule>
  </conditionalFormatting>
  <conditionalFormatting sqref="C17">
    <cfRule type="expression" dxfId="552" priority="13">
      <formula>$A$17="13. Monatslohn"</formula>
    </cfRule>
  </conditionalFormatting>
  <conditionalFormatting sqref="C22:H22">
    <cfRule type="cellIs" dxfId="551" priority="10" operator="greaterThan">
      <formula>1</formula>
    </cfRule>
  </conditionalFormatting>
  <conditionalFormatting sqref="C23:H23 K23:P23">
    <cfRule type="expression" dxfId="550" priority="14">
      <formula>$B$23="CHF"</formula>
    </cfRule>
  </conditionalFormatting>
  <conditionalFormatting sqref="C24:H24 K24:P24">
    <cfRule type="expression" dxfId="549" priority="42">
      <formula>$G$11="ja"</formula>
    </cfRule>
  </conditionalFormatting>
  <conditionalFormatting sqref="C25:H25 K25:P25">
    <cfRule type="expression" dxfId="548" priority="4">
      <formula>$B$25="Anz."</formula>
    </cfRule>
  </conditionalFormatting>
  <conditionalFormatting sqref="C26:H26">
    <cfRule type="expression" dxfId="547" priority="9">
      <formula>$C$16="Stundenlohn"</formula>
    </cfRule>
    <cfRule type="expression" dxfId="546" priority="8">
      <formula>$G$12="ja"</formula>
    </cfRule>
  </conditionalFormatting>
  <conditionalFormatting sqref="C28:H28 K28:P28">
    <cfRule type="expression" dxfId="545" priority="43">
      <formula>$G$10="Ja"</formula>
    </cfRule>
  </conditionalFormatting>
  <conditionalFormatting sqref="C50:H50">
    <cfRule type="expression" dxfId="544" priority="146">
      <formula>C51&lt;-0.01</formula>
    </cfRule>
    <cfRule type="expression" dxfId="543" priority="145">
      <formula>C51&gt;0.01</formula>
    </cfRule>
  </conditionalFormatting>
  <conditionalFormatting sqref="C51:H51">
    <cfRule type="cellIs" dxfId="542" priority="160" operator="greaterThan">
      <formula>0.04</formula>
    </cfRule>
    <cfRule type="cellIs" dxfId="541" priority="159" operator="lessThan">
      <formula>-0.04</formula>
    </cfRule>
  </conditionalFormatting>
  <conditionalFormatting sqref="G1">
    <cfRule type="containsText" dxfId="540" priority="102" operator="containsText" text="Achtung Fehler">
      <formula>NOT(ISERROR(SEARCH("Achtung Fehler",G1)))</formula>
    </cfRule>
  </conditionalFormatting>
  <conditionalFormatting sqref="G10">
    <cfRule type="expression" dxfId="539" priority="12">
      <formula>$C$16="Stundenlohn"</formula>
    </cfRule>
  </conditionalFormatting>
  <conditionalFormatting sqref="H17:H18">
    <cfRule type="beginsWith" dxfId="538" priority="188" operator="beginsWith" text="ACHTUNG">
      <formula>LEFT(H17,LEN("ACHTUNG"))="ACHTUNG"</formula>
    </cfRule>
  </conditionalFormatting>
  <conditionalFormatting sqref="I25">
    <cfRule type="beginsWith" dxfId="537" priority="2" operator="beginsWith" text="Anz">
      <formula>LEFT(I25,LEN("Anz"))="Anz"</formula>
    </cfRule>
  </conditionalFormatting>
  <conditionalFormatting sqref="I26">
    <cfRule type="containsText" dxfId="536" priority="29" operator="containsText" text="Anzahl Stunden Standard">
      <formula>NOT(ISERROR(SEARCH("Anzahl Stunden Standard",I26)))</formula>
    </cfRule>
    <cfRule type="containsText" dxfId="535" priority="26" operator="containsText" text="Anzahl Stunden">
      <formula>NOT(ISERROR(SEARCH("Anzahl Stunden",I26)))</formula>
    </cfRule>
    <cfRule type="containsText" dxfId="534" priority="30" operator="containsText" text="Anzahl Stunden I">
      <formula>NOT(ISERROR(SEARCH("Anzahl Stunden I",I26)))</formula>
    </cfRule>
  </conditionalFormatting>
  <conditionalFormatting sqref="I28">
    <cfRule type="containsText" dxfId="533" priority="28" operator="containsText" text="Anzahl Stunden II">
      <formula>NOT(ISERROR(SEARCH("Anzahl Stunden II",I28)))</formula>
    </cfRule>
    <cfRule type="containsText" dxfId="532" priority="27" operator="containsText" text="Anzahl Stunden Quali B">
      <formula>NOT(ISERROR(SEARCH("Anzahl Stunden Quali B",I28)))</formula>
    </cfRule>
  </conditionalFormatting>
  <conditionalFormatting sqref="I24:J24">
    <cfRule type="expression" dxfId="531" priority="32">
      <formula>$G$11="ja"</formula>
    </cfRule>
  </conditionalFormatting>
  <conditionalFormatting sqref="I25:J25">
    <cfRule type="expression" dxfId="530" priority="3">
      <formula>$P$10&gt;0.1</formula>
    </cfRule>
  </conditionalFormatting>
  <conditionalFormatting sqref="I50:J50">
    <cfRule type="expression" dxfId="529" priority="123">
      <formula>$G$11="ja"</formula>
    </cfRule>
  </conditionalFormatting>
  <conditionalFormatting sqref="J25">
    <cfRule type="beginsWith" dxfId="528" priority="1" operator="beginsWith" text="Anz">
      <formula>LEFT(J25,LEN("Anz"))="Anz"</formula>
    </cfRule>
  </conditionalFormatting>
  <conditionalFormatting sqref="J26">
    <cfRule type="containsText" dxfId="527" priority="25" operator="containsText" text="Std.">
      <formula>NOT(ISERROR(SEARCH("Std.",J26)))</formula>
    </cfRule>
    <cfRule type="containsText" dxfId="526" priority="24" operator="containsText" text="Std.">
      <formula>NOT(ISERROR(SEARCH("Std.",J26)))</formula>
    </cfRule>
    <cfRule type="containsText" dxfId="525" priority="23" operator="containsText" text="Std.">
      <formula>NOT(ISERROR(SEARCH("Std.",J26)))</formula>
    </cfRule>
  </conditionalFormatting>
  <conditionalFormatting sqref="J28">
    <cfRule type="containsText" dxfId="524" priority="20" operator="containsText" text="Std.">
      <formula>NOT(ISERROR(SEARCH("Std.",J28)))</formula>
    </cfRule>
    <cfRule type="containsText" dxfId="523" priority="21" operator="containsText" text="Std.">
      <formula>NOT(ISERROR(SEARCH("Std.",J28)))</formula>
    </cfRule>
    <cfRule type="containsText" dxfId="522" priority="22" operator="containsText" text="Std.">
      <formula>NOT(ISERROR(SEARCH("Std.",J28)))</formula>
    </cfRule>
  </conditionalFormatting>
  <conditionalFormatting sqref="K22:P22">
    <cfRule type="cellIs" dxfId="521" priority="11" operator="greaterThan">
      <formula>1</formula>
    </cfRule>
  </conditionalFormatting>
  <conditionalFormatting sqref="K26:P26">
    <cfRule type="expression" dxfId="520" priority="40">
      <formula>$G$12="ja"</formula>
    </cfRule>
    <cfRule type="expression" dxfId="519" priority="41">
      <formula>$C$16="Stundenlohn"</formula>
    </cfRule>
  </conditionalFormatting>
  <conditionalFormatting sqref="K50:P50">
    <cfRule type="expression" dxfId="518" priority="133">
      <formula>K51&gt;0.01</formula>
    </cfRule>
    <cfRule type="expression" dxfId="517" priority="134">
      <formula>K51&lt;-0.01</formula>
    </cfRule>
  </conditionalFormatting>
  <conditionalFormatting sqref="K51:P51">
    <cfRule type="cellIs" dxfId="516" priority="155" operator="lessThan">
      <formula>-0.04</formula>
    </cfRule>
    <cfRule type="cellIs" dxfId="515" priority="156" operator="greaterThan">
      <formula>0.04</formula>
    </cfRule>
  </conditionalFormatting>
  <conditionalFormatting sqref="L7">
    <cfRule type="expression" dxfId="514" priority="55">
      <formula>$C$16="Bitte auswählen"</formula>
    </cfRule>
  </conditionalFormatting>
  <conditionalFormatting sqref="L12">
    <cfRule type="expression" dxfId="513" priority="58">
      <formula>$G$10="ja"</formula>
    </cfRule>
  </conditionalFormatting>
  <conditionalFormatting sqref="M8">
    <cfRule type="expression" dxfId="512" priority="54">
      <formula>$C$16="Stundenlohn"</formula>
    </cfRule>
    <cfRule type="expression" dxfId="511" priority="53">
      <formula>$C$16="Monatslohn"</formula>
    </cfRule>
  </conditionalFormatting>
  <conditionalFormatting sqref="M13">
    <cfRule type="expression" dxfId="510" priority="56">
      <formula>$G$10="ja"</formula>
    </cfRule>
  </conditionalFormatting>
  <conditionalFormatting sqref="P1">
    <cfRule type="containsText" dxfId="509" priority="101" operator="containsText" text="Achtung Fehler">
      <formula>NOT(ISERROR(SEARCH("Achtung Fehler",P1)))</formula>
    </cfRule>
  </conditionalFormatting>
  <conditionalFormatting sqref="P7">
    <cfRule type="expression" dxfId="508" priority="57">
      <formula>$N$7="1 Stunde Bereitschaft ="</formula>
    </cfRule>
  </conditionalFormatting>
  <conditionalFormatting sqref="P10">
    <cfRule type="expression" dxfId="507" priority="52">
      <formula>$Q$10="Stunden"</formula>
    </cfRule>
  </conditionalFormatting>
  <conditionalFormatting sqref="S20">
    <cfRule type="beginsWith" dxfId="506" priority="5" operator="beginsWith" text="ACHTUNG">
      <formula>LEFT(S20,LEN("ACHTUNG"))="ACHTUNG"</formula>
    </cfRule>
    <cfRule type="beginsWith" dxfId="505" priority="7" operator="beginsWith" text="Vereinfachtes">
      <formula>LEFT(S20,LEN("Vereinfachtes"))="Vereinfachtes"</formula>
    </cfRule>
    <cfRule type="beginsWith" dxfId="504" priority="6" operator="beginsWith" text="Hinweis">
      <formula>LEFT(S20,LEN("Hinweis"))="Hinweis"</formula>
    </cfRule>
  </conditionalFormatting>
  <conditionalFormatting sqref="S24">
    <cfRule type="beginsWith" dxfId="503" priority="96" operator="beginsWith" text="ACHTUNG">
      <formula>LEFT(S24,LEN("ACHTUNG"))="ACHTUNG"</formula>
    </cfRule>
  </conditionalFormatting>
  <conditionalFormatting sqref="S28">
    <cfRule type="beginsWith" dxfId="502" priority="95" operator="beginsWith" text="ACHTUNG">
      <formula>LEFT(S28,LEN("ACHTUNG"))="ACHTUNG"</formula>
    </cfRule>
  </conditionalFormatting>
  <conditionalFormatting sqref="S36:S37">
    <cfRule type="beginsWith" dxfId="501" priority="100" operator="beginsWith" text="ACHTUNG">
      <formula>LEFT(S36,LEN("ACHTUNG"))="ACHTUNG"</formula>
    </cfRule>
  </conditionalFormatting>
  <dataValidations count="7">
    <dataValidation type="list" allowBlank="1" showInputMessage="1" showErrorMessage="1" sqref="F9:G9" xr:uid="{00000000-0002-0000-0200-000000000000}">
      <formula1>$AB$6:$AB$19</formula1>
    </dataValidation>
    <dataValidation type="list" allowBlank="1" showInputMessage="1" showErrorMessage="1" sqref="G10" xr:uid="{00000000-0002-0000-0200-000001000000}">
      <formula1>$AC$13:$AC$14</formula1>
    </dataValidation>
    <dataValidation type="list" allowBlank="1" showInputMessage="1" showErrorMessage="1" sqref="C17" xr:uid="{00000000-0002-0000-0200-000002000000}">
      <formula1>$Y$11:$Y$12</formula1>
    </dataValidation>
    <dataValidation type="list" allowBlank="1" showInputMessage="1" showErrorMessage="1" sqref="C10" xr:uid="{00000000-0002-0000-0200-000003000000}">
      <formula1>$X$6:$X$8</formula1>
    </dataValidation>
    <dataValidation type="list" allowBlank="1" showInputMessage="1" showErrorMessage="1" sqref="C16" xr:uid="{00000000-0002-0000-0200-000004000000}">
      <formula1>$X$11:$X$13</formula1>
    </dataValidation>
    <dataValidation type="list" allowBlank="1" showInputMessage="1" showErrorMessage="1" sqref="G11:G12" xr:uid="{00000000-0002-0000-0200-000005000000}">
      <formula1>$AH$6:$AH$8</formula1>
    </dataValidation>
    <dataValidation type="list" allowBlank="1" showInputMessage="1" showErrorMessage="1" sqref="G13" xr:uid="{00000000-0002-0000-0200-000006000000}">
      <formula1>$Y$6:$Y$8</formula1>
    </dataValidation>
  </dataValidations>
  <hyperlinks>
    <hyperlink ref="G1:H3" location="Fehler2" display="Fehler2" xr:uid="{00000000-0004-0000-0200-000000000000}"/>
    <hyperlink ref="P1:Q3" location="Fehler2" display="Fehler2" xr:uid="{00000000-0004-0000-02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4'!Z6="vereinfacht",'AP 5'!Z6="vereinfacht",'AP 6'!Z6="vereinfacht",'AP 7'!Z6="vereinfacht",'AP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1'!Z6="vereinfacht",'AP 4'!Z6="vereinfacht",'AP 5'!Z6="vereinfacht",'AP 6'!Z6="vereinfacht",'AP 7'!Z6="vereinfacht",'AP 8'!Z6="vereinfacht",'AP 9'!Z6="vereinfacht"),(AND(Z7="ordentlich",'AP 2'!Z7="ordentlich",'AP 1'!Z7="ordentlich",'AP 4'!Z7="ordentlich",'AP 5'!Z7="ordentlich",'AP 6'!Z7="ordentlich",'AP 7'!Z7="ordentlich",'AP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FUplBETKudZ1ui0E+6jNFEpgI1Xy3mOerS8TMKgmyqi/snAFmc9DORS2Eh5oP693ozb0GNbAsQz85YaDwXovLg==" saltValue="NHWXG/uecW8bIFNJcH53ag==" spinCount="100000" sheet="1" objects="1" scenarios="1"/>
  <mergeCells count="49">
    <mergeCell ref="M52:M53"/>
    <mergeCell ref="N52:N53"/>
    <mergeCell ref="O52:O53"/>
    <mergeCell ref="P52:P53"/>
    <mergeCell ref="S24:U26"/>
    <mergeCell ref="S28:U30"/>
    <mergeCell ref="S31:U32"/>
    <mergeCell ref="S33:U35"/>
    <mergeCell ref="S36:U40"/>
    <mergeCell ref="S41:U43"/>
    <mergeCell ref="AB4:AB5"/>
    <mergeCell ref="AC4:AC5"/>
    <mergeCell ref="AD4:AD5"/>
    <mergeCell ref="AH4:AI5"/>
    <mergeCell ref="C6:D6"/>
    <mergeCell ref="F6:G6"/>
    <mergeCell ref="P1:Q3"/>
    <mergeCell ref="A2:C2"/>
    <mergeCell ref="I2:K2"/>
    <mergeCell ref="Y2:Y5"/>
    <mergeCell ref="AA2:AA5"/>
    <mergeCell ref="I4:L4"/>
    <mergeCell ref="S4:T4"/>
    <mergeCell ref="X4:X5"/>
    <mergeCell ref="Z4:Z5"/>
    <mergeCell ref="A1:C1"/>
    <mergeCell ref="D1:F2"/>
    <mergeCell ref="G1:H3"/>
    <mergeCell ref="I1:K1"/>
    <mergeCell ref="L1:N2"/>
    <mergeCell ref="C7:D7"/>
    <mergeCell ref="F7:G7"/>
    <mergeCell ref="C8:D8"/>
    <mergeCell ref="F8:G8"/>
    <mergeCell ref="C9:D9"/>
    <mergeCell ref="F9:G9"/>
    <mergeCell ref="F14:G14"/>
    <mergeCell ref="F15:G15"/>
    <mergeCell ref="F16:G16"/>
    <mergeCell ref="S18:U18"/>
    <mergeCell ref="S20:U22"/>
    <mergeCell ref="K52:K53"/>
    <mergeCell ref="C52:C53"/>
    <mergeCell ref="L52:L53"/>
    <mergeCell ref="D52:D53"/>
    <mergeCell ref="E52:E53"/>
    <mergeCell ref="F52:F53"/>
    <mergeCell ref="G52:G53"/>
    <mergeCell ref="H52:H53"/>
  </mergeCells>
  <conditionalFormatting sqref="A25">
    <cfRule type="beginsWith" dxfId="500" priority="19" operator="beginsWith" text="Anz">
      <formula>LEFT(A25,LEN("Anz"))="Anz"</formula>
    </cfRule>
  </conditionalFormatting>
  <conditionalFormatting sqref="A26">
    <cfRule type="containsText" dxfId="499" priority="49" operator="containsText" text="Anzahl Stunden I">
      <formula>NOT(ISERROR(SEARCH("Anzahl Stunden I",A26)))</formula>
    </cfRule>
    <cfRule type="containsText" dxfId="498" priority="48" operator="containsText" text="Anzahl Stunden Standard">
      <formula>NOT(ISERROR(SEARCH("Anzahl Stunden Standard",A26)))</formula>
    </cfRule>
    <cfRule type="containsText" dxfId="497" priority="44" operator="containsText" text="Anzahl Stunden">
      <formula>NOT(ISERROR(SEARCH("Anzahl Stunden",A26)))</formula>
    </cfRule>
  </conditionalFormatting>
  <conditionalFormatting sqref="A28">
    <cfRule type="containsText" dxfId="496" priority="46" operator="containsText" text="Anzahl Stunden Quali B">
      <formula>NOT(ISERROR(SEARCH("Anzahl Stunden Quali B",A28)))</formula>
    </cfRule>
    <cfRule type="containsText" dxfId="495" priority="47" operator="containsText" text="Anzahl Stunden II">
      <formula>NOT(ISERROR(SEARCH("Anzahl Stunden II",A28)))</formula>
    </cfRule>
  </conditionalFormatting>
  <conditionalFormatting sqref="A24:B24">
    <cfRule type="expression" dxfId="494" priority="45">
      <formula>$G$11="ja"</formula>
    </cfRule>
  </conditionalFormatting>
  <conditionalFormatting sqref="A25:B25">
    <cfRule type="expression" dxfId="493" priority="39">
      <formula>$P$10&gt;0.1</formula>
    </cfRule>
  </conditionalFormatting>
  <conditionalFormatting sqref="A50:B50">
    <cfRule type="expression" dxfId="492" priority="171">
      <formula>$G$11="ja"</formula>
    </cfRule>
  </conditionalFormatting>
  <conditionalFormatting sqref="A60:Q64">
    <cfRule type="expression" dxfId="491" priority="59">
      <formula>$G$12="nein"</formula>
    </cfRule>
  </conditionalFormatting>
  <conditionalFormatting sqref="B25">
    <cfRule type="beginsWith" dxfId="490" priority="18" operator="beginsWith" text="Anz">
      <formula>LEFT(B25,LEN("Anz"))="Anz"</formula>
    </cfRule>
  </conditionalFormatting>
  <conditionalFormatting sqref="B26">
    <cfRule type="containsText" dxfId="489" priority="36" operator="containsText" text="Std.">
      <formula>NOT(ISERROR(SEARCH("Std.",B26)))</formula>
    </cfRule>
    <cfRule type="containsText" dxfId="488" priority="37" operator="containsText" text="Std.">
      <formula>NOT(ISERROR(SEARCH("Std.",B26)))</formula>
    </cfRule>
    <cfRule type="containsText" dxfId="487" priority="38" operator="containsText" text="Std.">
      <formula>NOT(ISERROR(SEARCH("Std.",B26)))</formula>
    </cfRule>
  </conditionalFormatting>
  <conditionalFormatting sqref="B28">
    <cfRule type="containsText" dxfId="486" priority="33" operator="containsText" text="Std.">
      <formula>NOT(ISERROR(SEARCH("Std.",B28)))</formula>
    </cfRule>
    <cfRule type="containsText" dxfId="485" priority="34" operator="containsText" text="Std.">
      <formula>NOT(ISERROR(SEARCH("Std.",B28)))</formula>
    </cfRule>
    <cfRule type="containsText" dxfId="484" priority="35" operator="containsText" text="Std.">
      <formula>NOT(ISERROR(SEARCH("Std.",B28)))</formula>
    </cfRule>
  </conditionalFormatting>
  <conditionalFormatting sqref="C17">
    <cfRule type="expression" dxfId="483" priority="13">
      <formula>$A$17="13. Monatslohn"</formula>
    </cfRule>
  </conditionalFormatting>
  <conditionalFormatting sqref="C22:H22">
    <cfRule type="cellIs" dxfId="482" priority="10" operator="greaterThan">
      <formula>1</formula>
    </cfRule>
  </conditionalFormatting>
  <conditionalFormatting sqref="C23:H23 K23:P23">
    <cfRule type="expression" dxfId="481" priority="14">
      <formula>$B$23="CHF"</formula>
    </cfRule>
  </conditionalFormatting>
  <conditionalFormatting sqref="C24:H24 K24:P24">
    <cfRule type="expression" dxfId="480" priority="42">
      <formula>$G$11="ja"</formula>
    </cfRule>
  </conditionalFormatting>
  <conditionalFormatting sqref="C25:H25 K25:P25">
    <cfRule type="expression" dxfId="479" priority="4">
      <formula>$B$25="Anz."</formula>
    </cfRule>
  </conditionalFormatting>
  <conditionalFormatting sqref="C26:H26">
    <cfRule type="expression" dxfId="478" priority="9">
      <formula>$C$16="Stundenlohn"</formula>
    </cfRule>
    <cfRule type="expression" dxfId="477" priority="8">
      <formula>$G$12="ja"</formula>
    </cfRule>
  </conditionalFormatting>
  <conditionalFormatting sqref="C28:H28 K28:P28">
    <cfRule type="expression" dxfId="476" priority="43">
      <formula>$G$10="Ja"</formula>
    </cfRule>
  </conditionalFormatting>
  <conditionalFormatting sqref="C50:H50">
    <cfRule type="expression" dxfId="475" priority="146">
      <formula>C51&lt;-0.01</formula>
    </cfRule>
    <cfRule type="expression" dxfId="474" priority="145">
      <formula>C51&gt;0.01</formula>
    </cfRule>
  </conditionalFormatting>
  <conditionalFormatting sqref="C51:H51">
    <cfRule type="cellIs" dxfId="473" priority="160" operator="greaterThan">
      <formula>0.04</formula>
    </cfRule>
    <cfRule type="cellIs" dxfId="472" priority="159" operator="lessThan">
      <formula>-0.04</formula>
    </cfRule>
  </conditionalFormatting>
  <conditionalFormatting sqref="G1">
    <cfRule type="containsText" dxfId="471" priority="101" operator="containsText" text="Achtung Fehler">
      <formula>NOT(ISERROR(SEARCH("Achtung Fehler",G1)))</formula>
    </cfRule>
  </conditionalFormatting>
  <conditionalFormatting sqref="G10">
    <cfRule type="expression" dxfId="470" priority="12">
      <formula>$C$16="Stundenlohn"</formula>
    </cfRule>
  </conditionalFormatting>
  <conditionalFormatting sqref="H17:H18">
    <cfRule type="beginsWith" dxfId="469" priority="188" operator="beginsWith" text="ACHTUNG">
      <formula>LEFT(H17,LEN("ACHTUNG"))="ACHTUNG"</formula>
    </cfRule>
  </conditionalFormatting>
  <conditionalFormatting sqref="I25">
    <cfRule type="beginsWith" dxfId="468" priority="2" operator="beginsWith" text="Anz">
      <formula>LEFT(I25,LEN("Anz"))="Anz"</formula>
    </cfRule>
  </conditionalFormatting>
  <conditionalFormatting sqref="I26">
    <cfRule type="containsText" dxfId="467" priority="29" operator="containsText" text="Anzahl Stunden Standard">
      <formula>NOT(ISERROR(SEARCH("Anzahl Stunden Standard",I26)))</formula>
    </cfRule>
    <cfRule type="containsText" dxfId="466" priority="26" operator="containsText" text="Anzahl Stunden">
      <formula>NOT(ISERROR(SEARCH("Anzahl Stunden",I26)))</formula>
    </cfRule>
    <cfRule type="containsText" dxfId="465" priority="30" operator="containsText" text="Anzahl Stunden I">
      <formula>NOT(ISERROR(SEARCH("Anzahl Stunden I",I26)))</formula>
    </cfRule>
  </conditionalFormatting>
  <conditionalFormatting sqref="I28">
    <cfRule type="containsText" dxfId="464" priority="28" operator="containsText" text="Anzahl Stunden II">
      <formula>NOT(ISERROR(SEARCH("Anzahl Stunden II",I28)))</formula>
    </cfRule>
    <cfRule type="containsText" dxfId="463" priority="27" operator="containsText" text="Anzahl Stunden Quali B">
      <formula>NOT(ISERROR(SEARCH("Anzahl Stunden Quali B",I28)))</formula>
    </cfRule>
  </conditionalFormatting>
  <conditionalFormatting sqref="I24:J24">
    <cfRule type="expression" dxfId="462" priority="32">
      <formula>$G$11="ja"</formula>
    </cfRule>
  </conditionalFormatting>
  <conditionalFormatting sqref="I25:J25">
    <cfRule type="expression" dxfId="461" priority="3">
      <formula>$P$10&gt;0.1</formula>
    </cfRule>
  </conditionalFormatting>
  <conditionalFormatting sqref="I50:J50">
    <cfRule type="expression" dxfId="460" priority="123">
      <formula>$G$11="ja"</formula>
    </cfRule>
  </conditionalFormatting>
  <conditionalFormatting sqref="J25">
    <cfRule type="beginsWith" dxfId="459" priority="1" operator="beginsWith" text="Anz">
      <formula>LEFT(J25,LEN("Anz"))="Anz"</formula>
    </cfRule>
  </conditionalFormatting>
  <conditionalFormatting sqref="J26">
    <cfRule type="containsText" dxfId="458" priority="25" operator="containsText" text="Std.">
      <formula>NOT(ISERROR(SEARCH("Std.",J26)))</formula>
    </cfRule>
    <cfRule type="containsText" dxfId="457" priority="24" operator="containsText" text="Std.">
      <formula>NOT(ISERROR(SEARCH("Std.",J26)))</formula>
    </cfRule>
    <cfRule type="containsText" dxfId="456" priority="23" operator="containsText" text="Std.">
      <formula>NOT(ISERROR(SEARCH("Std.",J26)))</formula>
    </cfRule>
  </conditionalFormatting>
  <conditionalFormatting sqref="J28">
    <cfRule type="containsText" dxfId="455" priority="20" operator="containsText" text="Std.">
      <formula>NOT(ISERROR(SEARCH("Std.",J28)))</formula>
    </cfRule>
    <cfRule type="containsText" dxfId="454" priority="21" operator="containsText" text="Std.">
      <formula>NOT(ISERROR(SEARCH("Std.",J28)))</formula>
    </cfRule>
    <cfRule type="containsText" dxfId="453" priority="22" operator="containsText" text="Std.">
      <formula>NOT(ISERROR(SEARCH("Std.",J28)))</formula>
    </cfRule>
  </conditionalFormatting>
  <conditionalFormatting sqref="K22:P22">
    <cfRule type="cellIs" dxfId="452" priority="11" operator="greaterThan">
      <formula>1</formula>
    </cfRule>
  </conditionalFormatting>
  <conditionalFormatting sqref="K26:P26">
    <cfRule type="expression" dxfId="451" priority="40">
      <formula>$G$12="ja"</formula>
    </cfRule>
    <cfRule type="expression" dxfId="450" priority="41">
      <formula>$C$16="Stundenlohn"</formula>
    </cfRule>
  </conditionalFormatting>
  <conditionalFormatting sqref="K50:P50">
    <cfRule type="expression" dxfId="449" priority="133">
      <formula>K51&gt;0.01</formula>
    </cfRule>
    <cfRule type="expression" dxfId="448" priority="134">
      <formula>K51&lt;-0.01</formula>
    </cfRule>
  </conditionalFormatting>
  <conditionalFormatting sqref="K51:P51">
    <cfRule type="cellIs" dxfId="447" priority="155" operator="lessThan">
      <formula>-0.04</formula>
    </cfRule>
    <cfRule type="cellIs" dxfId="446" priority="156" operator="greaterThan">
      <formula>0.04</formula>
    </cfRule>
  </conditionalFormatting>
  <conditionalFormatting sqref="L7">
    <cfRule type="expression" dxfId="445" priority="55">
      <formula>$C$16="Bitte auswählen"</formula>
    </cfRule>
  </conditionalFormatting>
  <conditionalFormatting sqref="L12">
    <cfRule type="expression" dxfId="444" priority="58">
      <formula>$G$10="ja"</formula>
    </cfRule>
  </conditionalFormatting>
  <conditionalFormatting sqref="M8">
    <cfRule type="expression" dxfId="443" priority="54">
      <formula>$C$16="Stundenlohn"</formula>
    </cfRule>
    <cfRule type="expression" dxfId="442" priority="53">
      <formula>$C$16="Monatslohn"</formula>
    </cfRule>
  </conditionalFormatting>
  <conditionalFormatting sqref="M13">
    <cfRule type="expression" dxfId="441" priority="56">
      <formula>$G$10="ja"</formula>
    </cfRule>
  </conditionalFormatting>
  <conditionalFormatting sqref="P1">
    <cfRule type="containsText" dxfId="440" priority="100" operator="containsText" text="Achtung Fehler">
      <formula>NOT(ISERROR(SEARCH("Achtung Fehler",P1)))</formula>
    </cfRule>
  </conditionalFormatting>
  <conditionalFormatting sqref="P7">
    <cfRule type="expression" dxfId="439" priority="57">
      <formula>$N$7="1 Stunde Bereitschaft ="</formula>
    </cfRule>
  </conditionalFormatting>
  <conditionalFormatting sqref="P10">
    <cfRule type="expression" dxfId="438" priority="52">
      <formula>$Q$10="Stunden"</formula>
    </cfRule>
  </conditionalFormatting>
  <conditionalFormatting sqref="S20">
    <cfRule type="beginsWith" dxfId="437" priority="5" operator="beginsWith" text="ACHTUNG">
      <formula>LEFT(S20,LEN("ACHTUNG"))="ACHTUNG"</formula>
    </cfRule>
    <cfRule type="beginsWith" dxfId="436" priority="7" operator="beginsWith" text="Vereinfachtes">
      <formula>LEFT(S20,LEN("Vereinfachtes"))="Vereinfachtes"</formula>
    </cfRule>
    <cfRule type="beginsWith" dxfId="435" priority="6" operator="beginsWith" text="Hinweis">
      <formula>LEFT(S20,LEN("Hinweis"))="Hinweis"</formula>
    </cfRule>
  </conditionalFormatting>
  <conditionalFormatting sqref="S24">
    <cfRule type="beginsWith" dxfId="434" priority="95" operator="beginsWith" text="ACHTUNG">
      <formula>LEFT(S24,LEN("ACHTUNG"))="ACHTUNG"</formula>
    </cfRule>
  </conditionalFormatting>
  <conditionalFormatting sqref="S28">
    <cfRule type="beginsWith" dxfId="433" priority="94" operator="beginsWith" text="ACHTUNG">
      <formula>LEFT(S28,LEN("ACHTUNG"))="ACHTUNG"</formula>
    </cfRule>
  </conditionalFormatting>
  <conditionalFormatting sqref="S36:S37">
    <cfRule type="beginsWith" dxfId="432" priority="99" operator="beginsWith" text="ACHTUNG">
      <formula>LEFT(S36,LEN("ACHTUNG"))="ACHTUNG"</formula>
    </cfRule>
  </conditionalFormatting>
  <dataValidations count="7">
    <dataValidation type="list" allowBlank="1" showInputMessage="1" showErrorMessage="1" sqref="G13" xr:uid="{00000000-0002-0000-0300-000000000000}">
      <formula1>$Y$6:$Y$8</formula1>
    </dataValidation>
    <dataValidation type="list" allowBlank="1" showInputMessage="1" showErrorMessage="1" sqref="G11:G12" xr:uid="{00000000-0002-0000-0300-000001000000}">
      <formula1>$AH$6:$AH$8</formula1>
    </dataValidation>
    <dataValidation type="list" allowBlank="1" showInputMessage="1" showErrorMessage="1" sqref="C16" xr:uid="{00000000-0002-0000-0300-000002000000}">
      <formula1>$X$11:$X$13</formula1>
    </dataValidation>
    <dataValidation type="list" allowBlank="1" showInputMessage="1" showErrorMessage="1" sqref="C10" xr:uid="{6F980A46-0498-4363-9065-F6656F33760F}">
      <formula1>$X$6:$X$8</formula1>
    </dataValidation>
    <dataValidation type="list" allowBlank="1" showInputMessage="1" showErrorMessage="1" sqref="C17" xr:uid="{00000000-0002-0000-0300-000004000000}">
      <formula1>$Y$11:$Y$12</formula1>
    </dataValidation>
    <dataValidation type="list" allowBlank="1" showInputMessage="1" showErrorMessage="1" sqref="G10" xr:uid="{00000000-0002-0000-0300-000005000000}">
      <formula1>$AC$13:$AC$14</formula1>
    </dataValidation>
    <dataValidation type="list" allowBlank="1" showInputMessage="1" showErrorMessage="1" sqref="F9:G9" xr:uid="{00000000-0002-0000-0300-000006000000}">
      <formula1>$AB$6:$AB$19</formula1>
    </dataValidation>
  </dataValidations>
  <hyperlinks>
    <hyperlink ref="G1:H3" location="Fehler3" display="Fehler3" xr:uid="{00000000-0004-0000-0300-000000000000}"/>
    <hyperlink ref="P1:Q3" location="Fehler3" display="Fehler3" xr:uid="{00000000-0004-0000-03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3'!Z6="vereinfacht",'AP 5'!Z6="vereinfacht",'AP 6'!Z6="vereinfacht",'AP 7'!Z6="vereinfacht",'AP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1'!Z6="vereinfacht",'AP 5'!Z6="vereinfacht",'AP 6'!Z6="vereinfacht",'AP 7'!Z6="vereinfacht",'AP 8'!Z6="vereinfacht",'AP 9'!Z6="vereinfacht"),(AND(Z7="ordentlich",'AP 2'!Z7="ordentlich",'AP 3'!Z7="ordentlich",'AP 1'!Z7="ordentlich",'AP 5'!Z7="ordentlich",'AP 6'!Z7="ordentlich",'AP 7'!Z7="ordentlich",'AP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5OToSKBv2aJ3UqTmBWa/e5A8p2V8pVlfElNE9r5b2XQihDuklTI/DAufHRB2W3+G8rnfmjIVxWVBhuAIpA3Q/A==" saltValue="44m+RKvzj1EpX5Uk6mkB9w==" spinCount="100000" sheet="1" objects="1" scenarios="1"/>
  <mergeCells count="49">
    <mergeCell ref="S18:U18"/>
    <mergeCell ref="S20:U22"/>
    <mergeCell ref="C7:D7"/>
    <mergeCell ref="F7:G7"/>
    <mergeCell ref="F14:G14"/>
    <mergeCell ref="F15:G15"/>
    <mergeCell ref="F16:G16"/>
    <mergeCell ref="C8:D8"/>
    <mergeCell ref="F8:G8"/>
    <mergeCell ref="C9:D9"/>
    <mergeCell ref="F9:G9"/>
    <mergeCell ref="H52:H53"/>
    <mergeCell ref="K52:K53"/>
    <mergeCell ref="L52:L53"/>
    <mergeCell ref="M52:M53"/>
    <mergeCell ref="N52:N53"/>
    <mergeCell ref="C52:C53"/>
    <mergeCell ref="D52:D53"/>
    <mergeCell ref="E52:E53"/>
    <mergeCell ref="F52:F53"/>
    <mergeCell ref="G52:G53"/>
    <mergeCell ref="P1:Q3"/>
    <mergeCell ref="A2:C2"/>
    <mergeCell ref="I2:K2"/>
    <mergeCell ref="Y2:Y5"/>
    <mergeCell ref="AA2:AA5"/>
    <mergeCell ref="I4:L4"/>
    <mergeCell ref="S4:T4"/>
    <mergeCell ref="X4:X5"/>
    <mergeCell ref="Z4:Z5"/>
    <mergeCell ref="A1:C1"/>
    <mergeCell ref="D1:F2"/>
    <mergeCell ref="G1:H3"/>
    <mergeCell ref="I1:K1"/>
    <mergeCell ref="L1:N2"/>
    <mergeCell ref="AB4:AB5"/>
    <mergeCell ref="AC4:AC5"/>
    <mergeCell ref="AD4:AD5"/>
    <mergeCell ref="AH4:AI5"/>
    <mergeCell ref="C6:D6"/>
    <mergeCell ref="F6:G6"/>
    <mergeCell ref="O52:O53"/>
    <mergeCell ref="P52:P53"/>
    <mergeCell ref="S24:U26"/>
    <mergeCell ref="S28:U30"/>
    <mergeCell ref="S31:U32"/>
    <mergeCell ref="S33:U35"/>
    <mergeCell ref="S36:U40"/>
    <mergeCell ref="S41:U43"/>
  </mergeCells>
  <conditionalFormatting sqref="A25">
    <cfRule type="beginsWith" dxfId="431" priority="19" operator="beginsWith" text="Anz">
      <formula>LEFT(A25,LEN("Anz"))="Anz"</formula>
    </cfRule>
  </conditionalFormatting>
  <conditionalFormatting sqref="A26">
    <cfRule type="containsText" dxfId="430" priority="49" operator="containsText" text="Anzahl Stunden I">
      <formula>NOT(ISERROR(SEARCH("Anzahl Stunden I",A26)))</formula>
    </cfRule>
    <cfRule type="containsText" dxfId="429" priority="48" operator="containsText" text="Anzahl Stunden Standard">
      <formula>NOT(ISERROR(SEARCH("Anzahl Stunden Standard",A26)))</formula>
    </cfRule>
    <cfRule type="containsText" dxfId="428" priority="44" operator="containsText" text="Anzahl Stunden">
      <formula>NOT(ISERROR(SEARCH("Anzahl Stunden",A26)))</formula>
    </cfRule>
  </conditionalFormatting>
  <conditionalFormatting sqref="A28">
    <cfRule type="containsText" dxfId="427" priority="46" operator="containsText" text="Anzahl Stunden Quali B">
      <formula>NOT(ISERROR(SEARCH("Anzahl Stunden Quali B",A28)))</formula>
    </cfRule>
    <cfRule type="containsText" dxfId="426" priority="47" operator="containsText" text="Anzahl Stunden II">
      <formula>NOT(ISERROR(SEARCH("Anzahl Stunden II",A28)))</formula>
    </cfRule>
  </conditionalFormatting>
  <conditionalFormatting sqref="A24:B24">
    <cfRule type="expression" dxfId="425" priority="45">
      <formula>$G$11="ja"</formula>
    </cfRule>
  </conditionalFormatting>
  <conditionalFormatting sqref="A25:B25">
    <cfRule type="expression" dxfId="424" priority="39">
      <formula>$P$10&gt;0.1</formula>
    </cfRule>
  </conditionalFormatting>
  <conditionalFormatting sqref="A50:B50">
    <cfRule type="expression" dxfId="423" priority="171">
      <formula>$G$11="ja"</formula>
    </cfRule>
  </conditionalFormatting>
  <conditionalFormatting sqref="A60:Q64">
    <cfRule type="expression" dxfId="422" priority="59">
      <formula>$G$12="nein"</formula>
    </cfRule>
  </conditionalFormatting>
  <conditionalFormatting sqref="B25">
    <cfRule type="beginsWith" dxfId="421" priority="18" operator="beginsWith" text="Anz">
      <formula>LEFT(B25,LEN("Anz"))="Anz"</formula>
    </cfRule>
  </conditionalFormatting>
  <conditionalFormatting sqref="B26">
    <cfRule type="containsText" dxfId="420" priority="36" operator="containsText" text="Std.">
      <formula>NOT(ISERROR(SEARCH("Std.",B26)))</formula>
    </cfRule>
    <cfRule type="containsText" dxfId="419" priority="37" operator="containsText" text="Std.">
      <formula>NOT(ISERROR(SEARCH("Std.",B26)))</formula>
    </cfRule>
    <cfRule type="containsText" dxfId="418" priority="38" operator="containsText" text="Std.">
      <formula>NOT(ISERROR(SEARCH("Std.",B26)))</formula>
    </cfRule>
  </conditionalFormatting>
  <conditionalFormatting sqref="B28">
    <cfRule type="containsText" dxfId="417" priority="33" operator="containsText" text="Std.">
      <formula>NOT(ISERROR(SEARCH("Std.",B28)))</formula>
    </cfRule>
    <cfRule type="containsText" dxfId="416" priority="34" operator="containsText" text="Std.">
      <formula>NOT(ISERROR(SEARCH("Std.",B28)))</formula>
    </cfRule>
    <cfRule type="containsText" dxfId="415" priority="35" operator="containsText" text="Std.">
      <formula>NOT(ISERROR(SEARCH("Std.",B28)))</formula>
    </cfRule>
  </conditionalFormatting>
  <conditionalFormatting sqref="C17">
    <cfRule type="expression" dxfId="414" priority="13">
      <formula>$A$17="13. Monatslohn"</formula>
    </cfRule>
  </conditionalFormatting>
  <conditionalFormatting sqref="C22:H22">
    <cfRule type="cellIs" dxfId="413" priority="10" operator="greaterThan">
      <formula>1</formula>
    </cfRule>
  </conditionalFormatting>
  <conditionalFormatting sqref="C23:H23 K23:P23">
    <cfRule type="expression" dxfId="412" priority="14">
      <formula>$B$23="CHF"</formula>
    </cfRule>
  </conditionalFormatting>
  <conditionalFormatting sqref="C24:H24 K24:P24">
    <cfRule type="expression" dxfId="411" priority="42">
      <formula>$G$11="ja"</formula>
    </cfRule>
  </conditionalFormatting>
  <conditionalFormatting sqref="C25:H25 K25:P25">
    <cfRule type="expression" dxfId="410" priority="4">
      <formula>$B$25="Anz."</formula>
    </cfRule>
  </conditionalFormatting>
  <conditionalFormatting sqref="C26:H26">
    <cfRule type="expression" dxfId="409" priority="9">
      <formula>$C$16="Stundenlohn"</formula>
    </cfRule>
    <cfRule type="expression" dxfId="408" priority="8">
      <formula>$G$12="ja"</formula>
    </cfRule>
  </conditionalFormatting>
  <conditionalFormatting sqref="C28:H28 K28:P28">
    <cfRule type="expression" dxfId="407" priority="43">
      <formula>$G$10="Ja"</formula>
    </cfRule>
  </conditionalFormatting>
  <conditionalFormatting sqref="C50:H50">
    <cfRule type="expression" dxfId="406" priority="146">
      <formula>C51&lt;-0.01</formula>
    </cfRule>
    <cfRule type="expression" dxfId="405" priority="145">
      <formula>C51&gt;0.01</formula>
    </cfRule>
  </conditionalFormatting>
  <conditionalFormatting sqref="C51:H51">
    <cfRule type="cellIs" dxfId="404" priority="160" operator="greaterThan">
      <formula>0.04</formula>
    </cfRule>
    <cfRule type="cellIs" dxfId="403" priority="159" operator="lessThan">
      <formula>-0.04</formula>
    </cfRule>
  </conditionalFormatting>
  <conditionalFormatting sqref="G1">
    <cfRule type="containsText" dxfId="402" priority="101" operator="containsText" text="Achtung Fehler">
      <formula>NOT(ISERROR(SEARCH("Achtung Fehler",G1)))</formula>
    </cfRule>
  </conditionalFormatting>
  <conditionalFormatting sqref="G10">
    <cfRule type="expression" dxfId="401" priority="12">
      <formula>$C$16="Stundenlohn"</formula>
    </cfRule>
  </conditionalFormatting>
  <conditionalFormatting sqref="H17:H18">
    <cfRule type="beginsWith" dxfId="400" priority="188" operator="beginsWith" text="ACHTUNG">
      <formula>LEFT(H17,LEN("ACHTUNG"))="ACHTUNG"</formula>
    </cfRule>
  </conditionalFormatting>
  <conditionalFormatting sqref="I25">
    <cfRule type="beginsWith" dxfId="399" priority="2" operator="beginsWith" text="Anz">
      <formula>LEFT(I25,LEN("Anz"))="Anz"</formula>
    </cfRule>
  </conditionalFormatting>
  <conditionalFormatting sqref="I26">
    <cfRule type="containsText" dxfId="398" priority="29" operator="containsText" text="Anzahl Stunden Standard">
      <formula>NOT(ISERROR(SEARCH("Anzahl Stunden Standard",I26)))</formula>
    </cfRule>
    <cfRule type="containsText" dxfId="397" priority="26" operator="containsText" text="Anzahl Stunden">
      <formula>NOT(ISERROR(SEARCH("Anzahl Stunden",I26)))</formula>
    </cfRule>
    <cfRule type="containsText" dxfId="396" priority="30" operator="containsText" text="Anzahl Stunden I">
      <formula>NOT(ISERROR(SEARCH("Anzahl Stunden I",I26)))</formula>
    </cfRule>
  </conditionalFormatting>
  <conditionalFormatting sqref="I28">
    <cfRule type="containsText" dxfId="395" priority="28" operator="containsText" text="Anzahl Stunden II">
      <formula>NOT(ISERROR(SEARCH("Anzahl Stunden II",I28)))</formula>
    </cfRule>
    <cfRule type="containsText" dxfId="394" priority="27" operator="containsText" text="Anzahl Stunden Quali B">
      <formula>NOT(ISERROR(SEARCH("Anzahl Stunden Quali B",I28)))</formula>
    </cfRule>
  </conditionalFormatting>
  <conditionalFormatting sqref="I24:J24">
    <cfRule type="expression" dxfId="393" priority="32">
      <formula>$G$11="ja"</formula>
    </cfRule>
  </conditionalFormatting>
  <conditionalFormatting sqref="I25:J25">
    <cfRule type="expression" dxfId="392" priority="3">
      <formula>$P$10&gt;0.1</formula>
    </cfRule>
  </conditionalFormatting>
  <conditionalFormatting sqref="I50:J50">
    <cfRule type="expression" dxfId="391" priority="123">
      <formula>$G$11="ja"</formula>
    </cfRule>
  </conditionalFormatting>
  <conditionalFormatting sqref="J25">
    <cfRule type="beginsWith" dxfId="390" priority="1" operator="beginsWith" text="Anz">
      <formula>LEFT(J25,LEN("Anz"))="Anz"</formula>
    </cfRule>
  </conditionalFormatting>
  <conditionalFormatting sqref="J26">
    <cfRule type="containsText" dxfId="389" priority="25" operator="containsText" text="Std.">
      <formula>NOT(ISERROR(SEARCH("Std.",J26)))</formula>
    </cfRule>
    <cfRule type="containsText" dxfId="388" priority="24" operator="containsText" text="Std.">
      <formula>NOT(ISERROR(SEARCH("Std.",J26)))</formula>
    </cfRule>
    <cfRule type="containsText" dxfId="387" priority="23" operator="containsText" text="Std.">
      <formula>NOT(ISERROR(SEARCH("Std.",J26)))</formula>
    </cfRule>
  </conditionalFormatting>
  <conditionalFormatting sqref="J28">
    <cfRule type="containsText" dxfId="386" priority="20" operator="containsText" text="Std.">
      <formula>NOT(ISERROR(SEARCH("Std.",J28)))</formula>
    </cfRule>
    <cfRule type="containsText" dxfId="385" priority="21" operator="containsText" text="Std.">
      <formula>NOT(ISERROR(SEARCH("Std.",J28)))</formula>
    </cfRule>
    <cfRule type="containsText" dxfId="384" priority="22" operator="containsText" text="Std.">
      <formula>NOT(ISERROR(SEARCH("Std.",J28)))</formula>
    </cfRule>
  </conditionalFormatting>
  <conditionalFormatting sqref="K22:P22">
    <cfRule type="cellIs" dxfId="383" priority="11" operator="greaterThan">
      <formula>1</formula>
    </cfRule>
  </conditionalFormatting>
  <conditionalFormatting sqref="K26:P26">
    <cfRule type="expression" dxfId="382" priority="40">
      <formula>$G$12="ja"</formula>
    </cfRule>
    <cfRule type="expression" dxfId="381" priority="41">
      <formula>$C$16="Stundenlohn"</formula>
    </cfRule>
  </conditionalFormatting>
  <conditionalFormatting sqref="K50:P50">
    <cfRule type="expression" dxfId="380" priority="133">
      <formula>K51&gt;0.01</formula>
    </cfRule>
    <cfRule type="expression" dxfId="379" priority="134">
      <formula>K51&lt;-0.01</formula>
    </cfRule>
  </conditionalFormatting>
  <conditionalFormatting sqref="K51:P51">
    <cfRule type="cellIs" dxfId="378" priority="155" operator="lessThan">
      <formula>-0.04</formula>
    </cfRule>
    <cfRule type="cellIs" dxfId="377" priority="156" operator="greaterThan">
      <formula>0.04</formula>
    </cfRule>
  </conditionalFormatting>
  <conditionalFormatting sqref="L7">
    <cfRule type="expression" dxfId="376" priority="55">
      <formula>$C$16="Bitte auswählen"</formula>
    </cfRule>
  </conditionalFormatting>
  <conditionalFormatting sqref="L12">
    <cfRule type="expression" dxfId="375" priority="58">
      <formula>$G$10="ja"</formula>
    </cfRule>
  </conditionalFormatting>
  <conditionalFormatting sqref="M8">
    <cfRule type="expression" dxfId="374" priority="54">
      <formula>$C$16="Stundenlohn"</formula>
    </cfRule>
    <cfRule type="expression" dxfId="373" priority="53">
      <formula>$C$16="Monatslohn"</formula>
    </cfRule>
  </conditionalFormatting>
  <conditionalFormatting sqref="M13">
    <cfRule type="expression" dxfId="372" priority="56">
      <formula>$G$10="ja"</formula>
    </cfRule>
  </conditionalFormatting>
  <conditionalFormatting sqref="P1">
    <cfRule type="containsText" dxfId="371" priority="100" operator="containsText" text="Achtung Fehler">
      <formula>NOT(ISERROR(SEARCH("Achtung Fehler",P1)))</formula>
    </cfRule>
  </conditionalFormatting>
  <conditionalFormatting sqref="P7">
    <cfRule type="expression" dxfId="370" priority="57">
      <formula>$N$7="1 Stunde Bereitschaft ="</formula>
    </cfRule>
  </conditionalFormatting>
  <conditionalFormatting sqref="P10">
    <cfRule type="expression" dxfId="369" priority="52">
      <formula>$Q$10="Stunden"</formula>
    </cfRule>
  </conditionalFormatting>
  <conditionalFormatting sqref="S20">
    <cfRule type="beginsWith" dxfId="368" priority="5" operator="beginsWith" text="ACHTUNG">
      <formula>LEFT(S20,LEN("ACHTUNG"))="ACHTUNG"</formula>
    </cfRule>
    <cfRule type="beginsWith" dxfId="367" priority="7" operator="beginsWith" text="Vereinfachtes">
      <formula>LEFT(S20,LEN("Vereinfachtes"))="Vereinfachtes"</formula>
    </cfRule>
    <cfRule type="beginsWith" dxfId="366" priority="6" operator="beginsWith" text="Hinweis">
      <formula>LEFT(S20,LEN("Hinweis"))="Hinweis"</formula>
    </cfRule>
  </conditionalFormatting>
  <conditionalFormatting sqref="S24">
    <cfRule type="beginsWith" dxfId="365" priority="95" operator="beginsWith" text="ACHTUNG">
      <formula>LEFT(S24,LEN("ACHTUNG"))="ACHTUNG"</formula>
    </cfRule>
  </conditionalFormatting>
  <conditionalFormatting sqref="S28">
    <cfRule type="beginsWith" dxfId="364" priority="94" operator="beginsWith" text="ACHTUNG">
      <formula>LEFT(S28,LEN("ACHTUNG"))="ACHTUNG"</formula>
    </cfRule>
  </conditionalFormatting>
  <conditionalFormatting sqref="S36:S37">
    <cfRule type="beginsWith" dxfId="363" priority="99" operator="beginsWith" text="ACHTUNG">
      <formula>LEFT(S36,LEN("ACHTUNG"))="ACHTUNG"</formula>
    </cfRule>
  </conditionalFormatting>
  <dataValidations count="7">
    <dataValidation type="list" allowBlank="1" showInputMessage="1" showErrorMessage="1" sqref="F9:G9" xr:uid="{00000000-0002-0000-0400-000000000000}">
      <formula1>$AB$6:$AB$19</formula1>
    </dataValidation>
    <dataValidation type="list" allowBlank="1" showInputMessage="1" showErrorMessage="1" sqref="G10" xr:uid="{00000000-0002-0000-0400-000001000000}">
      <formula1>$AC$13:$AC$14</formula1>
    </dataValidation>
    <dataValidation type="list" allowBlank="1" showInputMessage="1" showErrorMessage="1" sqref="C17" xr:uid="{00000000-0002-0000-0400-000002000000}">
      <formula1>$Y$11:$Y$12</formula1>
    </dataValidation>
    <dataValidation type="list" allowBlank="1" showInputMessage="1" showErrorMessage="1" sqref="C10" xr:uid="{EBC920BE-FFC0-4068-BACC-3D49ABFAF2A3}">
      <formula1>$X$6:$X$8</formula1>
    </dataValidation>
    <dataValidation type="list" allowBlank="1" showInputMessage="1" showErrorMessage="1" sqref="C16" xr:uid="{00000000-0002-0000-0400-000004000000}">
      <formula1>$X$11:$X$13</formula1>
    </dataValidation>
    <dataValidation type="list" allowBlank="1" showInputMessage="1" showErrorMessage="1" sqref="G11:G12" xr:uid="{00000000-0002-0000-0400-000005000000}">
      <formula1>$AH$6:$AH$8</formula1>
    </dataValidation>
    <dataValidation type="list" allowBlank="1" showInputMessage="1" showErrorMessage="1" sqref="G13" xr:uid="{00000000-0002-0000-0400-000006000000}">
      <formula1>$Y$6:$Y$8</formula1>
    </dataValidation>
  </dataValidations>
  <hyperlinks>
    <hyperlink ref="G1:H3" location="Fehler4" display="Fehler4" xr:uid="{00000000-0004-0000-0400-000000000000}"/>
    <hyperlink ref="P1:Q3" location="Fehler4" display="Fehler4" xr:uid="{00000000-0004-0000-04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3'!Z6="vereinfacht",'AP 4'!Z6="vereinfacht",'AP 6'!Z6="vereinfacht",'AP 7'!Z6="vereinfacht",'AP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4'!Z6="vereinfacht",'AP 1'!Z6="vereinfacht",'AP 6'!Z6="vereinfacht",'AP 7'!Z6="vereinfacht",'AP 8'!Z6="vereinfacht",'AP 9'!Z6="vereinfacht"),(AND(Z7="ordentlich",'AP 2'!Z7="ordentlich",'AP 3'!Z7="ordentlich",'AP 4'!Z7="ordentlich",'AP 1'!Z7="ordentlich",'AP 6'!Z7="ordentlich",'AP 7'!Z7="ordentlich",'AP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dVdZ3S1+IPARosdvSdDXDPw6lOQBR0qSyRhHQfECOfFJ6uiPMEV2uI94MyXRfdOddF+RCsokvfalLhM1aIifAA==" saltValue="F49Su4Tm12T/SRhy+8zrng==" spinCount="100000" sheet="1" objects="1" scenarios="1"/>
  <mergeCells count="49">
    <mergeCell ref="S18:U18"/>
    <mergeCell ref="S20:U22"/>
    <mergeCell ref="C7:D7"/>
    <mergeCell ref="F7:G7"/>
    <mergeCell ref="F14:G14"/>
    <mergeCell ref="F15:G15"/>
    <mergeCell ref="F16:G16"/>
    <mergeCell ref="C8:D8"/>
    <mergeCell ref="F8:G8"/>
    <mergeCell ref="C9:D9"/>
    <mergeCell ref="F9:G9"/>
    <mergeCell ref="H52:H53"/>
    <mergeCell ref="K52:K53"/>
    <mergeCell ref="L52:L53"/>
    <mergeCell ref="M52:M53"/>
    <mergeCell ref="N52:N53"/>
    <mergeCell ref="C52:C53"/>
    <mergeCell ref="D52:D53"/>
    <mergeCell ref="E52:E53"/>
    <mergeCell ref="F52:F53"/>
    <mergeCell ref="G52:G53"/>
    <mergeCell ref="P1:Q3"/>
    <mergeCell ref="A2:C2"/>
    <mergeCell ref="I2:K2"/>
    <mergeCell ref="Y2:Y5"/>
    <mergeCell ref="AA2:AA5"/>
    <mergeCell ref="I4:L4"/>
    <mergeCell ref="S4:T4"/>
    <mergeCell ref="X4:X5"/>
    <mergeCell ref="Z4:Z5"/>
    <mergeCell ref="A1:C1"/>
    <mergeCell ref="D1:F2"/>
    <mergeCell ref="G1:H3"/>
    <mergeCell ref="I1:K1"/>
    <mergeCell ref="L1:N2"/>
    <mergeCell ref="AB4:AB5"/>
    <mergeCell ref="AC4:AC5"/>
    <mergeCell ref="AD4:AD5"/>
    <mergeCell ref="AH4:AI5"/>
    <mergeCell ref="C6:D6"/>
    <mergeCell ref="F6:G6"/>
    <mergeCell ref="O52:O53"/>
    <mergeCell ref="P52:P53"/>
    <mergeCell ref="S24:U26"/>
    <mergeCell ref="S28:U30"/>
    <mergeCell ref="S31:U32"/>
    <mergeCell ref="S33:U35"/>
    <mergeCell ref="S36:U40"/>
    <mergeCell ref="S41:U43"/>
  </mergeCells>
  <conditionalFormatting sqref="A25">
    <cfRule type="beginsWith" dxfId="362" priority="19" operator="beginsWith" text="Anz">
      <formula>LEFT(A25,LEN("Anz"))="Anz"</formula>
    </cfRule>
  </conditionalFormatting>
  <conditionalFormatting sqref="A26">
    <cfRule type="containsText" dxfId="361" priority="49" operator="containsText" text="Anzahl Stunden I">
      <formula>NOT(ISERROR(SEARCH("Anzahl Stunden I",A26)))</formula>
    </cfRule>
    <cfRule type="containsText" dxfId="360" priority="48" operator="containsText" text="Anzahl Stunden Standard">
      <formula>NOT(ISERROR(SEARCH("Anzahl Stunden Standard",A26)))</formula>
    </cfRule>
    <cfRule type="containsText" dxfId="359" priority="44" operator="containsText" text="Anzahl Stunden">
      <formula>NOT(ISERROR(SEARCH("Anzahl Stunden",A26)))</formula>
    </cfRule>
  </conditionalFormatting>
  <conditionalFormatting sqref="A28">
    <cfRule type="containsText" dxfId="358" priority="46" operator="containsText" text="Anzahl Stunden Quali B">
      <formula>NOT(ISERROR(SEARCH("Anzahl Stunden Quali B",A28)))</formula>
    </cfRule>
    <cfRule type="containsText" dxfId="357" priority="47" operator="containsText" text="Anzahl Stunden II">
      <formula>NOT(ISERROR(SEARCH("Anzahl Stunden II",A28)))</formula>
    </cfRule>
  </conditionalFormatting>
  <conditionalFormatting sqref="A24:B24">
    <cfRule type="expression" dxfId="356" priority="45">
      <formula>$G$11="ja"</formula>
    </cfRule>
  </conditionalFormatting>
  <conditionalFormatting sqref="A25:B25">
    <cfRule type="expression" dxfId="355" priority="39">
      <formula>$P$10&gt;0.1</formula>
    </cfRule>
  </conditionalFormatting>
  <conditionalFormatting sqref="A50:B50">
    <cfRule type="expression" dxfId="354" priority="171">
      <formula>$G$11="ja"</formula>
    </cfRule>
  </conditionalFormatting>
  <conditionalFormatting sqref="A60:Q64">
    <cfRule type="expression" dxfId="353" priority="59">
      <formula>$G$12="nein"</formula>
    </cfRule>
  </conditionalFormatting>
  <conditionalFormatting sqref="B25">
    <cfRule type="beginsWith" dxfId="352" priority="18" operator="beginsWith" text="Anz">
      <formula>LEFT(B25,LEN("Anz"))="Anz"</formula>
    </cfRule>
  </conditionalFormatting>
  <conditionalFormatting sqref="B26">
    <cfRule type="containsText" dxfId="351" priority="36" operator="containsText" text="Std.">
      <formula>NOT(ISERROR(SEARCH("Std.",B26)))</formula>
    </cfRule>
    <cfRule type="containsText" dxfId="350" priority="37" operator="containsText" text="Std.">
      <formula>NOT(ISERROR(SEARCH("Std.",B26)))</formula>
    </cfRule>
    <cfRule type="containsText" dxfId="349" priority="38" operator="containsText" text="Std.">
      <formula>NOT(ISERROR(SEARCH("Std.",B26)))</formula>
    </cfRule>
  </conditionalFormatting>
  <conditionalFormatting sqref="B28">
    <cfRule type="containsText" dxfId="348" priority="33" operator="containsText" text="Std.">
      <formula>NOT(ISERROR(SEARCH("Std.",B28)))</formula>
    </cfRule>
    <cfRule type="containsText" dxfId="347" priority="34" operator="containsText" text="Std.">
      <formula>NOT(ISERROR(SEARCH("Std.",B28)))</formula>
    </cfRule>
    <cfRule type="containsText" dxfId="346" priority="35" operator="containsText" text="Std.">
      <formula>NOT(ISERROR(SEARCH("Std.",B28)))</formula>
    </cfRule>
  </conditionalFormatting>
  <conditionalFormatting sqref="C17">
    <cfRule type="expression" dxfId="345" priority="13">
      <formula>$A$17="13. Monatslohn"</formula>
    </cfRule>
  </conditionalFormatting>
  <conditionalFormatting sqref="C22:H22">
    <cfRule type="cellIs" dxfId="344" priority="10" operator="greaterThan">
      <formula>1</formula>
    </cfRule>
  </conditionalFormatting>
  <conditionalFormatting sqref="C23:H23 K23:P23">
    <cfRule type="expression" dxfId="343" priority="14">
      <formula>$B$23="CHF"</formula>
    </cfRule>
  </conditionalFormatting>
  <conditionalFormatting sqref="C24:H24 K24:P24">
    <cfRule type="expression" dxfId="342" priority="42">
      <formula>$G$11="ja"</formula>
    </cfRule>
  </conditionalFormatting>
  <conditionalFormatting sqref="C25:H25 K25:P25">
    <cfRule type="expression" dxfId="341" priority="4">
      <formula>$B$25="Anz."</formula>
    </cfRule>
  </conditionalFormatting>
  <conditionalFormatting sqref="C26:H26">
    <cfRule type="expression" dxfId="340" priority="9">
      <formula>$C$16="Stundenlohn"</formula>
    </cfRule>
    <cfRule type="expression" dxfId="339" priority="8">
      <formula>$G$12="ja"</formula>
    </cfRule>
  </conditionalFormatting>
  <conditionalFormatting sqref="C28:H28 K28:P28">
    <cfRule type="expression" dxfId="338" priority="43">
      <formula>$G$10="Ja"</formula>
    </cfRule>
  </conditionalFormatting>
  <conditionalFormatting sqref="C50:H50">
    <cfRule type="expression" dxfId="337" priority="146">
      <formula>C51&lt;-0.01</formula>
    </cfRule>
    <cfRule type="expression" dxfId="336" priority="145">
      <formula>C51&gt;0.01</formula>
    </cfRule>
  </conditionalFormatting>
  <conditionalFormatting sqref="C51:H51">
    <cfRule type="cellIs" dxfId="335" priority="160" operator="greaterThan">
      <formula>0.04</formula>
    </cfRule>
    <cfRule type="cellIs" dxfId="334" priority="159" operator="lessThan">
      <formula>-0.04</formula>
    </cfRule>
  </conditionalFormatting>
  <conditionalFormatting sqref="G1">
    <cfRule type="containsText" dxfId="333" priority="101" operator="containsText" text="Achtung Fehler">
      <formula>NOT(ISERROR(SEARCH("Achtung Fehler",G1)))</formula>
    </cfRule>
  </conditionalFormatting>
  <conditionalFormatting sqref="G10">
    <cfRule type="expression" dxfId="332" priority="12">
      <formula>$C$16="Stundenlohn"</formula>
    </cfRule>
  </conditionalFormatting>
  <conditionalFormatting sqref="H17:H18">
    <cfRule type="beginsWith" dxfId="331" priority="188" operator="beginsWith" text="ACHTUNG">
      <formula>LEFT(H17,LEN("ACHTUNG"))="ACHTUNG"</formula>
    </cfRule>
  </conditionalFormatting>
  <conditionalFormatting sqref="I25">
    <cfRule type="beginsWith" dxfId="330" priority="2" operator="beginsWith" text="Anz">
      <formula>LEFT(I25,LEN("Anz"))="Anz"</formula>
    </cfRule>
  </conditionalFormatting>
  <conditionalFormatting sqref="I26">
    <cfRule type="containsText" dxfId="329" priority="29" operator="containsText" text="Anzahl Stunden Standard">
      <formula>NOT(ISERROR(SEARCH("Anzahl Stunden Standard",I26)))</formula>
    </cfRule>
    <cfRule type="containsText" dxfId="328" priority="26" operator="containsText" text="Anzahl Stunden">
      <formula>NOT(ISERROR(SEARCH("Anzahl Stunden",I26)))</formula>
    </cfRule>
    <cfRule type="containsText" dxfId="327" priority="30" operator="containsText" text="Anzahl Stunden I">
      <formula>NOT(ISERROR(SEARCH("Anzahl Stunden I",I26)))</formula>
    </cfRule>
  </conditionalFormatting>
  <conditionalFormatting sqref="I28">
    <cfRule type="containsText" dxfId="326" priority="28" operator="containsText" text="Anzahl Stunden II">
      <formula>NOT(ISERROR(SEARCH("Anzahl Stunden II",I28)))</formula>
    </cfRule>
    <cfRule type="containsText" dxfId="325" priority="27" operator="containsText" text="Anzahl Stunden Quali B">
      <formula>NOT(ISERROR(SEARCH("Anzahl Stunden Quali B",I28)))</formula>
    </cfRule>
  </conditionalFormatting>
  <conditionalFormatting sqref="I24:J24">
    <cfRule type="expression" dxfId="324" priority="32">
      <formula>$G$11="ja"</formula>
    </cfRule>
  </conditionalFormatting>
  <conditionalFormatting sqref="I25:J25">
    <cfRule type="expression" dxfId="323" priority="3">
      <formula>$P$10&gt;0.1</formula>
    </cfRule>
  </conditionalFormatting>
  <conditionalFormatting sqref="I50:J50">
    <cfRule type="expression" dxfId="322" priority="123">
      <formula>$G$11="ja"</formula>
    </cfRule>
  </conditionalFormatting>
  <conditionalFormatting sqref="J25">
    <cfRule type="beginsWith" dxfId="321" priority="1" operator="beginsWith" text="Anz">
      <formula>LEFT(J25,LEN("Anz"))="Anz"</formula>
    </cfRule>
  </conditionalFormatting>
  <conditionalFormatting sqref="J26">
    <cfRule type="containsText" dxfId="320" priority="25" operator="containsText" text="Std.">
      <formula>NOT(ISERROR(SEARCH("Std.",J26)))</formula>
    </cfRule>
    <cfRule type="containsText" dxfId="319" priority="24" operator="containsText" text="Std.">
      <formula>NOT(ISERROR(SEARCH("Std.",J26)))</formula>
    </cfRule>
    <cfRule type="containsText" dxfId="318" priority="23" operator="containsText" text="Std.">
      <formula>NOT(ISERROR(SEARCH("Std.",J26)))</formula>
    </cfRule>
  </conditionalFormatting>
  <conditionalFormatting sqref="J28">
    <cfRule type="containsText" dxfId="317" priority="20" operator="containsText" text="Std.">
      <formula>NOT(ISERROR(SEARCH("Std.",J28)))</formula>
    </cfRule>
    <cfRule type="containsText" dxfId="316" priority="21" operator="containsText" text="Std.">
      <formula>NOT(ISERROR(SEARCH("Std.",J28)))</formula>
    </cfRule>
    <cfRule type="containsText" dxfId="315" priority="22" operator="containsText" text="Std.">
      <formula>NOT(ISERROR(SEARCH("Std.",J28)))</formula>
    </cfRule>
  </conditionalFormatting>
  <conditionalFormatting sqref="K22:P22">
    <cfRule type="cellIs" dxfId="314" priority="11" operator="greaterThan">
      <formula>1</formula>
    </cfRule>
  </conditionalFormatting>
  <conditionalFormatting sqref="K26:P26">
    <cfRule type="expression" dxfId="313" priority="40">
      <formula>$G$12="ja"</formula>
    </cfRule>
    <cfRule type="expression" dxfId="312" priority="41">
      <formula>$C$16="Stundenlohn"</formula>
    </cfRule>
  </conditionalFormatting>
  <conditionalFormatting sqref="K50:P50">
    <cfRule type="expression" dxfId="311" priority="133">
      <formula>K51&gt;0.01</formula>
    </cfRule>
    <cfRule type="expression" dxfId="310" priority="134">
      <formula>K51&lt;-0.01</formula>
    </cfRule>
  </conditionalFormatting>
  <conditionalFormatting sqref="K51:P51">
    <cfRule type="cellIs" dxfId="309" priority="155" operator="lessThan">
      <formula>-0.04</formula>
    </cfRule>
    <cfRule type="cellIs" dxfId="308" priority="156" operator="greaterThan">
      <formula>0.04</formula>
    </cfRule>
  </conditionalFormatting>
  <conditionalFormatting sqref="L7">
    <cfRule type="expression" dxfId="307" priority="55">
      <formula>$C$16="Bitte auswählen"</formula>
    </cfRule>
  </conditionalFormatting>
  <conditionalFormatting sqref="L12">
    <cfRule type="expression" dxfId="306" priority="58">
      <formula>$G$10="ja"</formula>
    </cfRule>
  </conditionalFormatting>
  <conditionalFormatting sqref="M8">
    <cfRule type="expression" dxfId="305" priority="54">
      <formula>$C$16="Stundenlohn"</formula>
    </cfRule>
    <cfRule type="expression" dxfId="304" priority="53">
      <formula>$C$16="Monatslohn"</formula>
    </cfRule>
  </conditionalFormatting>
  <conditionalFormatting sqref="M13">
    <cfRule type="expression" dxfId="303" priority="56">
      <formula>$G$10="ja"</formula>
    </cfRule>
  </conditionalFormatting>
  <conditionalFormatting sqref="P1">
    <cfRule type="containsText" dxfId="302" priority="100" operator="containsText" text="Achtung Fehler">
      <formula>NOT(ISERROR(SEARCH("Achtung Fehler",P1)))</formula>
    </cfRule>
  </conditionalFormatting>
  <conditionalFormatting sqref="P7">
    <cfRule type="expression" dxfId="301" priority="57">
      <formula>$N$7="1 Stunde Bereitschaft ="</formula>
    </cfRule>
  </conditionalFormatting>
  <conditionalFormatting sqref="P10">
    <cfRule type="expression" dxfId="300" priority="52">
      <formula>$Q$10="Stunden"</formula>
    </cfRule>
  </conditionalFormatting>
  <conditionalFormatting sqref="S20">
    <cfRule type="beginsWith" dxfId="299" priority="5" operator="beginsWith" text="ACHTUNG">
      <formula>LEFT(S20,LEN("ACHTUNG"))="ACHTUNG"</formula>
    </cfRule>
    <cfRule type="beginsWith" dxfId="298" priority="7" operator="beginsWith" text="Vereinfachtes">
      <formula>LEFT(S20,LEN("Vereinfachtes"))="Vereinfachtes"</formula>
    </cfRule>
    <cfRule type="beginsWith" dxfId="297" priority="6" operator="beginsWith" text="Hinweis">
      <formula>LEFT(S20,LEN("Hinweis"))="Hinweis"</formula>
    </cfRule>
  </conditionalFormatting>
  <conditionalFormatting sqref="S24">
    <cfRule type="beginsWith" dxfId="296" priority="95" operator="beginsWith" text="ACHTUNG">
      <formula>LEFT(S24,LEN("ACHTUNG"))="ACHTUNG"</formula>
    </cfRule>
  </conditionalFormatting>
  <conditionalFormatting sqref="S28">
    <cfRule type="beginsWith" dxfId="295" priority="94" operator="beginsWith" text="ACHTUNG">
      <formula>LEFT(S28,LEN("ACHTUNG"))="ACHTUNG"</formula>
    </cfRule>
  </conditionalFormatting>
  <conditionalFormatting sqref="S36:S37">
    <cfRule type="beginsWith" dxfId="294" priority="99" operator="beginsWith" text="ACHTUNG">
      <formula>LEFT(S36,LEN("ACHTUNG"))="ACHTUNG"</formula>
    </cfRule>
  </conditionalFormatting>
  <dataValidations count="7">
    <dataValidation type="list" allowBlank="1" showInputMessage="1" showErrorMessage="1" sqref="G13" xr:uid="{00000000-0002-0000-0500-000000000000}">
      <formula1>$Y$6:$Y$8</formula1>
    </dataValidation>
    <dataValidation type="list" allowBlank="1" showInputMessage="1" showErrorMessage="1" sqref="G11:G12" xr:uid="{00000000-0002-0000-0500-000001000000}">
      <formula1>$AH$6:$AH$8</formula1>
    </dataValidation>
    <dataValidation type="list" allowBlank="1" showInputMessage="1" showErrorMessage="1" sqref="C16" xr:uid="{00000000-0002-0000-0500-000002000000}">
      <formula1>$X$11:$X$13</formula1>
    </dataValidation>
    <dataValidation type="list" allowBlank="1" showInputMessage="1" showErrorMessage="1" sqref="C10" xr:uid="{084AA594-780D-4C6E-9ACA-B3BA60957BA4}">
      <formula1>$X$6:$X$8</formula1>
    </dataValidation>
    <dataValidation type="list" allowBlank="1" showInputMessage="1" showErrorMessage="1" sqref="C17" xr:uid="{00000000-0002-0000-0500-000004000000}">
      <formula1>$Y$11:$Y$12</formula1>
    </dataValidation>
    <dataValidation type="list" allowBlank="1" showInputMessage="1" showErrorMessage="1" sqref="G10" xr:uid="{00000000-0002-0000-0500-000005000000}">
      <formula1>$AC$13:$AC$14</formula1>
    </dataValidation>
    <dataValidation type="list" allowBlank="1" showInputMessage="1" showErrorMessage="1" sqref="F9:G9" xr:uid="{00000000-0002-0000-0500-000006000000}">
      <formula1>$AB$6:$AB$19</formula1>
    </dataValidation>
  </dataValidations>
  <hyperlinks>
    <hyperlink ref="G1:H3" location="Fehler5" display="Fehler5" xr:uid="{00000000-0004-0000-0500-000000000000}"/>
    <hyperlink ref="P1:Q3" location="Fehler5" display="Fehler5" xr:uid="{00000000-0004-0000-05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3'!Z6="vereinfacht",'AP 5'!Z6="vereinfacht",'AP 4'!Z6="vereinfacht",'AP 7'!Z6="vereinfacht",'AP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4'!Z6="vereinfacht",'AP 5'!Z6="vereinfacht",'AP 1'!Z6="vereinfacht",'AP 7'!Z6="vereinfacht",'AP 8'!Z6="vereinfacht",'AP 9'!Z6="vereinfacht"),(AND(Z7="ordentlich",'AP 2'!Z7="ordentlich",'AP 3'!Z7="ordentlich",'AP 4'!Z7="ordentlich",'AP 5'!Z7="ordentlich",'AP 1'!Z7="ordentlich",'AP 7'!Z7="ordentlich",'AP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ekQOcvx27/QkltngKJXXfZhlBNk61HpRjNyuWzVxg6pibUT4j8DwCCJcrGQhsvMVkMs3pzROZlqX/CYMZlXr6A==" saltValue="6wjoDaIzdezhEKVWxPYr9Q==" spinCount="100000" sheet="1" objects="1" scenarios="1"/>
  <mergeCells count="49">
    <mergeCell ref="S18:U18"/>
    <mergeCell ref="S20:U22"/>
    <mergeCell ref="C7:D7"/>
    <mergeCell ref="F7:G7"/>
    <mergeCell ref="F14:G14"/>
    <mergeCell ref="F15:G15"/>
    <mergeCell ref="F16:G16"/>
    <mergeCell ref="C8:D8"/>
    <mergeCell ref="F8:G8"/>
    <mergeCell ref="C9:D9"/>
    <mergeCell ref="F9:G9"/>
    <mergeCell ref="H52:H53"/>
    <mergeCell ref="K52:K53"/>
    <mergeCell ref="L52:L53"/>
    <mergeCell ref="M52:M53"/>
    <mergeCell ref="N52:N53"/>
    <mergeCell ref="C52:C53"/>
    <mergeCell ref="D52:D53"/>
    <mergeCell ref="E52:E53"/>
    <mergeCell ref="F52:F53"/>
    <mergeCell ref="G52:G53"/>
    <mergeCell ref="P1:Q3"/>
    <mergeCell ref="A2:C2"/>
    <mergeCell ref="I2:K2"/>
    <mergeCell ref="Y2:Y5"/>
    <mergeCell ref="AA2:AA5"/>
    <mergeCell ref="I4:L4"/>
    <mergeCell ref="S4:T4"/>
    <mergeCell ref="X4:X5"/>
    <mergeCell ref="Z4:Z5"/>
    <mergeCell ref="A1:C1"/>
    <mergeCell ref="D1:F2"/>
    <mergeCell ref="G1:H3"/>
    <mergeCell ref="I1:K1"/>
    <mergeCell ref="L1:N2"/>
    <mergeCell ref="AB4:AB5"/>
    <mergeCell ref="AC4:AC5"/>
    <mergeCell ref="AD4:AD5"/>
    <mergeCell ref="AH4:AI5"/>
    <mergeCell ref="C6:D6"/>
    <mergeCell ref="F6:G6"/>
    <mergeCell ref="O52:O53"/>
    <mergeCell ref="P52:P53"/>
    <mergeCell ref="S24:U26"/>
    <mergeCell ref="S28:U30"/>
    <mergeCell ref="S31:U32"/>
    <mergeCell ref="S33:U35"/>
    <mergeCell ref="S36:U40"/>
    <mergeCell ref="S41:U43"/>
  </mergeCells>
  <conditionalFormatting sqref="A25">
    <cfRule type="beginsWith" dxfId="293" priority="19" operator="beginsWith" text="Anz">
      <formula>LEFT(A25,LEN("Anz"))="Anz"</formula>
    </cfRule>
  </conditionalFormatting>
  <conditionalFormatting sqref="A26">
    <cfRule type="containsText" dxfId="292" priority="49" operator="containsText" text="Anzahl Stunden I">
      <formula>NOT(ISERROR(SEARCH("Anzahl Stunden I",A26)))</formula>
    </cfRule>
    <cfRule type="containsText" dxfId="291" priority="48" operator="containsText" text="Anzahl Stunden Standard">
      <formula>NOT(ISERROR(SEARCH("Anzahl Stunden Standard",A26)))</formula>
    </cfRule>
    <cfRule type="containsText" dxfId="290" priority="44" operator="containsText" text="Anzahl Stunden">
      <formula>NOT(ISERROR(SEARCH("Anzahl Stunden",A26)))</formula>
    </cfRule>
  </conditionalFormatting>
  <conditionalFormatting sqref="A28">
    <cfRule type="containsText" dxfId="289" priority="46" operator="containsText" text="Anzahl Stunden Quali B">
      <formula>NOT(ISERROR(SEARCH("Anzahl Stunden Quali B",A28)))</formula>
    </cfRule>
    <cfRule type="containsText" dxfId="288" priority="47" operator="containsText" text="Anzahl Stunden II">
      <formula>NOT(ISERROR(SEARCH("Anzahl Stunden II",A28)))</formula>
    </cfRule>
  </conditionalFormatting>
  <conditionalFormatting sqref="A24:B24">
    <cfRule type="expression" dxfId="287" priority="45">
      <formula>$G$11="ja"</formula>
    </cfRule>
  </conditionalFormatting>
  <conditionalFormatting sqref="A25:B25">
    <cfRule type="expression" dxfId="286" priority="39">
      <formula>$P$10&gt;0.1</formula>
    </cfRule>
  </conditionalFormatting>
  <conditionalFormatting sqref="A50:B50">
    <cfRule type="expression" dxfId="285" priority="171">
      <formula>$G$11="ja"</formula>
    </cfRule>
  </conditionalFormatting>
  <conditionalFormatting sqref="A60:Q64">
    <cfRule type="expression" dxfId="284" priority="59">
      <formula>$G$12="nein"</formula>
    </cfRule>
  </conditionalFormatting>
  <conditionalFormatting sqref="B25">
    <cfRule type="beginsWith" dxfId="283" priority="18" operator="beginsWith" text="Anz">
      <formula>LEFT(B25,LEN("Anz"))="Anz"</formula>
    </cfRule>
  </conditionalFormatting>
  <conditionalFormatting sqref="B26">
    <cfRule type="containsText" dxfId="282" priority="36" operator="containsText" text="Std.">
      <formula>NOT(ISERROR(SEARCH("Std.",B26)))</formula>
    </cfRule>
    <cfRule type="containsText" dxfId="281" priority="37" operator="containsText" text="Std.">
      <formula>NOT(ISERROR(SEARCH("Std.",B26)))</formula>
    </cfRule>
    <cfRule type="containsText" dxfId="280" priority="38" operator="containsText" text="Std.">
      <formula>NOT(ISERROR(SEARCH("Std.",B26)))</formula>
    </cfRule>
  </conditionalFormatting>
  <conditionalFormatting sqref="B28">
    <cfRule type="containsText" dxfId="279" priority="33" operator="containsText" text="Std.">
      <formula>NOT(ISERROR(SEARCH("Std.",B28)))</formula>
    </cfRule>
    <cfRule type="containsText" dxfId="278" priority="34" operator="containsText" text="Std.">
      <formula>NOT(ISERROR(SEARCH("Std.",B28)))</formula>
    </cfRule>
    <cfRule type="containsText" dxfId="277" priority="35" operator="containsText" text="Std.">
      <formula>NOT(ISERROR(SEARCH("Std.",B28)))</formula>
    </cfRule>
  </conditionalFormatting>
  <conditionalFormatting sqref="C17">
    <cfRule type="expression" dxfId="276" priority="13">
      <formula>$A$17="13. Monatslohn"</formula>
    </cfRule>
  </conditionalFormatting>
  <conditionalFormatting sqref="C22:H22">
    <cfRule type="cellIs" dxfId="275" priority="10" operator="greaterThan">
      <formula>1</formula>
    </cfRule>
  </conditionalFormatting>
  <conditionalFormatting sqref="C23:H23 K23:P23">
    <cfRule type="expression" dxfId="274" priority="14">
      <formula>$B$23="CHF"</formula>
    </cfRule>
  </conditionalFormatting>
  <conditionalFormatting sqref="C24:H24 K24:P24">
    <cfRule type="expression" dxfId="273" priority="42">
      <formula>$G$11="ja"</formula>
    </cfRule>
  </conditionalFormatting>
  <conditionalFormatting sqref="C25:H25 K25:P25">
    <cfRule type="expression" dxfId="272" priority="4">
      <formula>$B$25="Anz."</formula>
    </cfRule>
  </conditionalFormatting>
  <conditionalFormatting sqref="C26:H26">
    <cfRule type="expression" dxfId="271" priority="9">
      <formula>$C$16="Stundenlohn"</formula>
    </cfRule>
    <cfRule type="expression" dxfId="270" priority="8">
      <formula>$G$12="ja"</formula>
    </cfRule>
  </conditionalFormatting>
  <conditionalFormatting sqref="C28:H28 K28:P28">
    <cfRule type="expression" dxfId="269" priority="43">
      <formula>$G$10="Ja"</formula>
    </cfRule>
  </conditionalFormatting>
  <conditionalFormatting sqref="C50:H50">
    <cfRule type="expression" dxfId="268" priority="146">
      <formula>C51&lt;-0.01</formula>
    </cfRule>
    <cfRule type="expression" dxfId="267" priority="145">
      <formula>C51&gt;0.01</formula>
    </cfRule>
  </conditionalFormatting>
  <conditionalFormatting sqref="C51:H51">
    <cfRule type="cellIs" dxfId="266" priority="160" operator="greaterThan">
      <formula>0.04</formula>
    </cfRule>
    <cfRule type="cellIs" dxfId="265" priority="159" operator="lessThan">
      <formula>-0.04</formula>
    </cfRule>
  </conditionalFormatting>
  <conditionalFormatting sqref="G1">
    <cfRule type="containsText" dxfId="264" priority="101" operator="containsText" text="Achtung Fehler">
      <formula>NOT(ISERROR(SEARCH("Achtung Fehler",G1)))</formula>
    </cfRule>
  </conditionalFormatting>
  <conditionalFormatting sqref="G10">
    <cfRule type="expression" dxfId="263" priority="12">
      <formula>$C$16="Stundenlohn"</formula>
    </cfRule>
  </conditionalFormatting>
  <conditionalFormatting sqref="H17:H18">
    <cfRule type="beginsWith" dxfId="262" priority="188" operator="beginsWith" text="ACHTUNG">
      <formula>LEFT(H17,LEN("ACHTUNG"))="ACHTUNG"</formula>
    </cfRule>
  </conditionalFormatting>
  <conditionalFormatting sqref="I25">
    <cfRule type="beginsWith" dxfId="261" priority="2" operator="beginsWith" text="Anz">
      <formula>LEFT(I25,LEN("Anz"))="Anz"</formula>
    </cfRule>
  </conditionalFormatting>
  <conditionalFormatting sqref="I26">
    <cfRule type="containsText" dxfId="260" priority="29" operator="containsText" text="Anzahl Stunden Standard">
      <formula>NOT(ISERROR(SEARCH("Anzahl Stunden Standard",I26)))</formula>
    </cfRule>
    <cfRule type="containsText" dxfId="259" priority="26" operator="containsText" text="Anzahl Stunden">
      <formula>NOT(ISERROR(SEARCH("Anzahl Stunden",I26)))</formula>
    </cfRule>
    <cfRule type="containsText" dxfId="258" priority="30" operator="containsText" text="Anzahl Stunden I">
      <formula>NOT(ISERROR(SEARCH("Anzahl Stunden I",I26)))</formula>
    </cfRule>
  </conditionalFormatting>
  <conditionalFormatting sqref="I28">
    <cfRule type="containsText" dxfId="257" priority="28" operator="containsText" text="Anzahl Stunden II">
      <formula>NOT(ISERROR(SEARCH("Anzahl Stunden II",I28)))</formula>
    </cfRule>
    <cfRule type="containsText" dxfId="256" priority="27" operator="containsText" text="Anzahl Stunden Quali B">
      <formula>NOT(ISERROR(SEARCH("Anzahl Stunden Quali B",I28)))</formula>
    </cfRule>
  </conditionalFormatting>
  <conditionalFormatting sqref="I24:J24">
    <cfRule type="expression" dxfId="255" priority="32">
      <formula>$G$11="ja"</formula>
    </cfRule>
  </conditionalFormatting>
  <conditionalFormatting sqref="I25:J25">
    <cfRule type="expression" dxfId="254" priority="3">
      <formula>$P$10&gt;0.1</formula>
    </cfRule>
  </conditionalFormatting>
  <conditionalFormatting sqref="I50:J50">
    <cfRule type="expression" dxfId="253" priority="123">
      <formula>$G$11="ja"</formula>
    </cfRule>
  </conditionalFormatting>
  <conditionalFormatting sqref="J25">
    <cfRule type="beginsWith" dxfId="252" priority="1" operator="beginsWith" text="Anz">
      <formula>LEFT(J25,LEN("Anz"))="Anz"</formula>
    </cfRule>
  </conditionalFormatting>
  <conditionalFormatting sqref="J26">
    <cfRule type="containsText" dxfId="251" priority="25" operator="containsText" text="Std.">
      <formula>NOT(ISERROR(SEARCH("Std.",J26)))</formula>
    </cfRule>
    <cfRule type="containsText" dxfId="250" priority="24" operator="containsText" text="Std.">
      <formula>NOT(ISERROR(SEARCH("Std.",J26)))</formula>
    </cfRule>
    <cfRule type="containsText" dxfId="249" priority="23" operator="containsText" text="Std.">
      <formula>NOT(ISERROR(SEARCH("Std.",J26)))</formula>
    </cfRule>
  </conditionalFormatting>
  <conditionalFormatting sqref="J28">
    <cfRule type="containsText" dxfId="248" priority="20" operator="containsText" text="Std.">
      <formula>NOT(ISERROR(SEARCH("Std.",J28)))</formula>
    </cfRule>
    <cfRule type="containsText" dxfId="247" priority="21" operator="containsText" text="Std.">
      <formula>NOT(ISERROR(SEARCH("Std.",J28)))</formula>
    </cfRule>
    <cfRule type="containsText" dxfId="246" priority="22" operator="containsText" text="Std.">
      <formula>NOT(ISERROR(SEARCH("Std.",J28)))</formula>
    </cfRule>
  </conditionalFormatting>
  <conditionalFormatting sqref="K22:P22">
    <cfRule type="cellIs" dxfId="245" priority="11" operator="greaterThan">
      <formula>1</formula>
    </cfRule>
  </conditionalFormatting>
  <conditionalFormatting sqref="K26:P26">
    <cfRule type="expression" dxfId="244" priority="40">
      <formula>$G$12="ja"</formula>
    </cfRule>
    <cfRule type="expression" dxfId="243" priority="41">
      <formula>$C$16="Stundenlohn"</formula>
    </cfRule>
  </conditionalFormatting>
  <conditionalFormatting sqref="K50:P50">
    <cfRule type="expression" dxfId="242" priority="133">
      <formula>K51&gt;0.01</formula>
    </cfRule>
    <cfRule type="expression" dxfId="241" priority="134">
      <formula>K51&lt;-0.01</formula>
    </cfRule>
  </conditionalFormatting>
  <conditionalFormatting sqref="K51:P51">
    <cfRule type="cellIs" dxfId="240" priority="155" operator="lessThan">
      <formula>-0.04</formula>
    </cfRule>
    <cfRule type="cellIs" dxfId="239" priority="156" operator="greaterThan">
      <formula>0.04</formula>
    </cfRule>
  </conditionalFormatting>
  <conditionalFormatting sqref="L7">
    <cfRule type="expression" dxfId="238" priority="55">
      <formula>$C$16="Bitte auswählen"</formula>
    </cfRule>
  </conditionalFormatting>
  <conditionalFormatting sqref="L12">
    <cfRule type="expression" dxfId="237" priority="58">
      <formula>$G$10="ja"</formula>
    </cfRule>
  </conditionalFormatting>
  <conditionalFormatting sqref="M8">
    <cfRule type="expression" dxfId="236" priority="54">
      <formula>$C$16="Stundenlohn"</formula>
    </cfRule>
    <cfRule type="expression" dxfId="235" priority="53">
      <formula>$C$16="Monatslohn"</formula>
    </cfRule>
  </conditionalFormatting>
  <conditionalFormatting sqref="M13">
    <cfRule type="expression" dxfId="234" priority="56">
      <formula>$G$10="ja"</formula>
    </cfRule>
  </conditionalFormatting>
  <conditionalFormatting sqref="P1">
    <cfRule type="containsText" dxfId="233" priority="100" operator="containsText" text="Achtung Fehler">
      <formula>NOT(ISERROR(SEARCH("Achtung Fehler",P1)))</formula>
    </cfRule>
  </conditionalFormatting>
  <conditionalFormatting sqref="P7">
    <cfRule type="expression" dxfId="232" priority="57">
      <formula>$N$7="1 Stunde Bereitschaft ="</formula>
    </cfRule>
  </conditionalFormatting>
  <conditionalFormatting sqref="P10">
    <cfRule type="expression" dxfId="231" priority="52">
      <formula>$Q$10="Stunden"</formula>
    </cfRule>
  </conditionalFormatting>
  <conditionalFormatting sqref="S20">
    <cfRule type="beginsWith" dxfId="230" priority="5" operator="beginsWith" text="ACHTUNG">
      <formula>LEFT(S20,LEN("ACHTUNG"))="ACHTUNG"</formula>
    </cfRule>
    <cfRule type="beginsWith" dxfId="229" priority="7" operator="beginsWith" text="Vereinfachtes">
      <formula>LEFT(S20,LEN("Vereinfachtes"))="Vereinfachtes"</formula>
    </cfRule>
    <cfRule type="beginsWith" dxfId="228" priority="6" operator="beginsWith" text="Hinweis">
      <formula>LEFT(S20,LEN("Hinweis"))="Hinweis"</formula>
    </cfRule>
  </conditionalFormatting>
  <conditionalFormatting sqref="S24">
    <cfRule type="beginsWith" dxfId="227" priority="95" operator="beginsWith" text="ACHTUNG">
      <formula>LEFT(S24,LEN("ACHTUNG"))="ACHTUNG"</formula>
    </cfRule>
  </conditionalFormatting>
  <conditionalFormatting sqref="S28">
    <cfRule type="beginsWith" dxfId="226" priority="94" operator="beginsWith" text="ACHTUNG">
      <formula>LEFT(S28,LEN("ACHTUNG"))="ACHTUNG"</formula>
    </cfRule>
  </conditionalFormatting>
  <conditionalFormatting sqref="S36:S37">
    <cfRule type="beginsWith" dxfId="225" priority="99" operator="beginsWith" text="ACHTUNG">
      <formula>LEFT(S36,LEN("ACHTUNG"))="ACHTUNG"</formula>
    </cfRule>
  </conditionalFormatting>
  <dataValidations count="7">
    <dataValidation type="list" allowBlank="1" showInputMessage="1" showErrorMessage="1" sqref="F9:G9" xr:uid="{00000000-0002-0000-0600-000000000000}">
      <formula1>$AB$6:$AB$19</formula1>
    </dataValidation>
    <dataValidation type="list" allowBlank="1" showInputMessage="1" showErrorMessage="1" sqref="G10" xr:uid="{00000000-0002-0000-0600-000001000000}">
      <formula1>$AC$13:$AC$14</formula1>
    </dataValidation>
    <dataValidation type="list" allowBlank="1" showInputMessage="1" showErrorMessage="1" sqref="C17" xr:uid="{00000000-0002-0000-0600-000002000000}">
      <formula1>$Y$11:$Y$12</formula1>
    </dataValidation>
    <dataValidation type="list" allowBlank="1" showInputMessage="1" showErrorMessage="1" sqref="C10" xr:uid="{6659A771-9CB6-4B14-8EBD-8C0BA6F699A5}">
      <formula1>$X$6:$X$8</formula1>
    </dataValidation>
    <dataValidation type="list" allowBlank="1" showInputMessage="1" showErrorMessage="1" sqref="C16" xr:uid="{00000000-0002-0000-0600-000004000000}">
      <formula1>$X$11:$X$13</formula1>
    </dataValidation>
    <dataValidation type="list" allowBlank="1" showInputMessage="1" showErrorMessage="1" sqref="G11:G12" xr:uid="{00000000-0002-0000-0600-000005000000}">
      <formula1>$AH$6:$AH$8</formula1>
    </dataValidation>
    <dataValidation type="list" allowBlank="1" showInputMessage="1" showErrorMessage="1" sqref="G13" xr:uid="{00000000-0002-0000-0600-000006000000}">
      <formula1>$Y$6:$Y$8</formula1>
    </dataValidation>
  </dataValidations>
  <hyperlinks>
    <hyperlink ref="G1:H3" location="Fehler6" display="Fehler6" xr:uid="{00000000-0004-0000-0600-000000000000}"/>
    <hyperlink ref="P1:Q3" location="Fehler6" display="Fehler6" xr:uid="{00000000-0004-0000-06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3'!Z6="vereinfacht",'AP 5'!Z6="vereinfacht",'AP 6'!Z6="vereinfacht",'AP 4'!Z6="vereinfacht",'AP 8'!Z6="vereinfacht",'AP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4'!Z6="vereinfacht",'AP 5'!Z6="vereinfacht",'AP 6'!Z6="vereinfacht",'AP 1'!Z6="vereinfacht",'AP 8'!Z6="vereinfacht",'AP 9'!Z6="vereinfacht"),(AND(Z7="ordentlich",'AP 2'!Z7="ordentlich",'AP 3'!Z7="ordentlich",'AP 4'!Z7="ordentlich",'AP 5'!Z7="ordentlich",'AP 6'!Z7="ordentlich",'AP 1'!Z7="ordentlich",'AP 8'!Z7="ordentlich",'AP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eivki7UgDrxrlkcGfmByXeHskNHeb7UHWXdtpYUblI3LuemozP9GhFUy3uSjoNJ1DxH0N2pnferz6ENhVAHiDw==" saltValue="vffqpswFWZUkK9el15hfCA==" spinCount="100000" sheet="1" objects="1" scenarios="1"/>
  <mergeCells count="49">
    <mergeCell ref="S18:U18"/>
    <mergeCell ref="S20:U22"/>
    <mergeCell ref="C7:D7"/>
    <mergeCell ref="F7:G7"/>
    <mergeCell ref="F14:G14"/>
    <mergeCell ref="F15:G15"/>
    <mergeCell ref="F16:G16"/>
    <mergeCell ref="C8:D8"/>
    <mergeCell ref="F8:G8"/>
    <mergeCell ref="C9:D9"/>
    <mergeCell ref="F9:G9"/>
    <mergeCell ref="H52:H53"/>
    <mergeCell ref="K52:K53"/>
    <mergeCell ref="L52:L53"/>
    <mergeCell ref="M52:M53"/>
    <mergeCell ref="N52:N53"/>
    <mergeCell ref="C52:C53"/>
    <mergeCell ref="D52:D53"/>
    <mergeCell ref="E52:E53"/>
    <mergeCell ref="F52:F53"/>
    <mergeCell ref="G52:G53"/>
    <mergeCell ref="P1:Q3"/>
    <mergeCell ref="A2:C2"/>
    <mergeCell ref="I2:K2"/>
    <mergeCell ref="Y2:Y5"/>
    <mergeCell ref="AA2:AA5"/>
    <mergeCell ref="I4:L4"/>
    <mergeCell ref="S4:T4"/>
    <mergeCell ref="X4:X5"/>
    <mergeCell ref="Z4:Z5"/>
    <mergeCell ref="A1:C1"/>
    <mergeCell ref="D1:F2"/>
    <mergeCell ref="G1:H3"/>
    <mergeCell ref="I1:K1"/>
    <mergeCell ref="L1:N2"/>
    <mergeCell ref="AB4:AB5"/>
    <mergeCell ref="AC4:AC5"/>
    <mergeCell ref="AD4:AD5"/>
    <mergeCell ref="AH4:AI5"/>
    <mergeCell ref="C6:D6"/>
    <mergeCell ref="F6:G6"/>
    <mergeCell ref="O52:O53"/>
    <mergeCell ref="P52:P53"/>
    <mergeCell ref="S24:U26"/>
    <mergeCell ref="S28:U30"/>
    <mergeCell ref="S31:U32"/>
    <mergeCell ref="S33:U35"/>
    <mergeCell ref="S36:U40"/>
    <mergeCell ref="S41:U43"/>
  </mergeCells>
  <conditionalFormatting sqref="A25">
    <cfRule type="beginsWith" dxfId="224" priority="19" operator="beginsWith" text="Anz">
      <formula>LEFT(A25,LEN("Anz"))="Anz"</formula>
    </cfRule>
  </conditionalFormatting>
  <conditionalFormatting sqref="A26">
    <cfRule type="containsText" dxfId="223" priority="49" operator="containsText" text="Anzahl Stunden I">
      <formula>NOT(ISERROR(SEARCH("Anzahl Stunden I",A26)))</formula>
    </cfRule>
    <cfRule type="containsText" dxfId="222" priority="48" operator="containsText" text="Anzahl Stunden Standard">
      <formula>NOT(ISERROR(SEARCH("Anzahl Stunden Standard",A26)))</formula>
    </cfRule>
    <cfRule type="containsText" dxfId="221" priority="44" operator="containsText" text="Anzahl Stunden">
      <formula>NOT(ISERROR(SEARCH("Anzahl Stunden",A26)))</formula>
    </cfRule>
  </conditionalFormatting>
  <conditionalFormatting sqref="A28">
    <cfRule type="containsText" dxfId="220" priority="46" operator="containsText" text="Anzahl Stunden Quali B">
      <formula>NOT(ISERROR(SEARCH("Anzahl Stunden Quali B",A28)))</formula>
    </cfRule>
    <cfRule type="containsText" dxfId="219" priority="47" operator="containsText" text="Anzahl Stunden II">
      <formula>NOT(ISERROR(SEARCH("Anzahl Stunden II",A28)))</formula>
    </cfRule>
  </conditionalFormatting>
  <conditionalFormatting sqref="A24:B24">
    <cfRule type="expression" dxfId="218" priority="45">
      <formula>$G$11="ja"</formula>
    </cfRule>
  </conditionalFormatting>
  <conditionalFormatting sqref="A25:B25">
    <cfRule type="expression" dxfId="217" priority="39">
      <formula>$P$10&gt;0.1</formula>
    </cfRule>
  </conditionalFormatting>
  <conditionalFormatting sqref="A50:B50">
    <cfRule type="expression" dxfId="216" priority="171">
      <formula>$G$11="ja"</formula>
    </cfRule>
  </conditionalFormatting>
  <conditionalFormatting sqref="A60:Q64">
    <cfRule type="expression" dxfId="215" priority="59">
      <formula>$G$12="nein"</formula>
    </cfRule>
  </conditionalFormatting>
  <conditionalFormatting sqref="B25">
    <cfRule type="beginsWith" dxfId="214" priority="18" operator="beginsWith" text="Anz">
      <formula>LEFT(B25,LEN("Anz"))="Anz"</formula>
    </cfRule>
  </conditionalFormatting>
  <conditionalFormatting sqref="B26">
    <cfRule type="containsText" dxfId="213" priority="36" operator="containsText" text="Std.">
      <formula>NOT(ISERROR(SEARCH("Std.",B26)))</formula>
    </cfRule>
    <cfRule type="containsText" dxfId="212" priority="37" operator="containsText" text="Std.">
      <formula>NOT(ISERROR(SEARCH("Std.",B26)))</formula>
    </cfRule>
    <cfRule type="containsText" dxfId="211" priority="38" operator="containsText" text="Std.">
      <formula>NOT(ISERROR(SEARCH("Std.",B26)))</formula>
    </cfRule>
  </conditionalFormatting>
  <conditionalFormatting sqref="B28">
    <cfRule type="containsText" dxfId="210" priority="33" operator="containsText" text="Std.">
      <formula>NOT(ISERROR(SEARCH("Std.",B28)))</formula>
    </cfRule>
    <cfRule type="containsText" dxfId="209" priority="34" operator="containsText" text="Std.">
      <formula>NOT(ISERROR(SEARCH("Std.",B28)))</formula>
    </cfRule>
    <cfRule type="containsText" dxfId="208" priority="35" operator="containsText" text="Std.">
      <formula>NOT(ISERROR(SEARCH("Std.",B28)))</formula>
    </cfRule>
  </conditionalFormatting>
  <conditionalFormatting sqref="C17">
    <cfRule type="expression" dxfId="207" priority="13">
      <formula>$A$17="13. Monatslohn"</formula>
    </cfRule>
  </conditionalFormatting>
  <conditionalFormatting sqref="C22:H22">
    <cfRule type="cellIs" dxfId="206" priority="10" operator="greaterThan">
      <formula>1</formula>
    </cfRule>
  </conditionalFormatting>
  <conditionalFormatting sqref="C23:H23 K23:P23">
    <cfRule type="expression" dxfId="205" priority="14">
      <formula>$B$23="CHF"</formula>
    </cfRule>
  </conditionalFormatting>
  <conditionalFormatting sqref="C24:H24 K24:P24">
    <cfRule type="expression" dxfId="204" priority="42">
      <formula>$G$11="ja"</formula>
    </cfRule>
  </conditionalFormatting>
  <conditionalFormatting sqref="C25:H25 K25:P25">
    <cfRule type="expression" dxfId="203" priority="4">
      <formula>$B$25="Anz."</formula>
    </cfRule>
  </conditionalFormatting>
  <conditionalFormatting sqref="C26:H26">
    <cfRule type="expression" dxfId="202" priority="9">
      <formula>$C$16="Stundenlohn"</formula>
    </cfRule>
    <cfRule type="expression" dxfId="201" priority="8">
      <formula>$G$12="ja"</formula>
    </cfRule>
  </conditionalFormatting>
  <conditionalFormatting sqref="C28:H28 K28:P28">
    <cfRule type="expression" dxfId="200" priority="43">
      <formula>$G$10="Ja"</formula>
    </cfRule>
  </conditionalFormatting>
  <conditionalFormatting sqref="C50:H50">
    <cfRule type="expression" dxfId="199" priority="146">
      <formula>C51&lt;-0.01</formula>
    </cfRule>
    <cfRule type="expression" dxfId="198" priority="145">
      <formula>C51&gt;0.01</formula>
    </cfRule>
  </conditionalFormatting>
  <conditionalFormatting sqref="C51:H51">
    <cfRule type="cellIs" dxfId="197" priority="160" operator="greaterThan">
      <formula>0.04</formula>
    </cfRule>
    <cfRule type="cellIs" dxfId="196" priority="159" operator="lessThan">
      <formula>-0.04</formula>
    </cfRule>
  </conditionalFormatting>
  <conditionalFormatting sqref="G1">
    <cfRule type="containsText" dxfId="195" priority="101" operator="containsText" text="Achtung Fehler">
      <formula>NOT(ISERROR(SEARCH("Achtung Fehler",G1)))</formula>
    </cfRule>
  </conditionalFormatting>
  <conditionalFormatting sqref="G10">
    <cfRule type="expression" dxfId="194" priority="12">
      <formula>$C$16="Stundenlohn"</formula>
    </cfRule>
  </conditionalFormatting>
  <conditionalFormatting sqref="H17:H18">
    <cfRule type="beginsWith" dxfId="193" priority="188" operator="beginsWith" text="ACHTUNG">
      <formula>LEFT(H17,LEN("ACHTUNG"))="ACHTUNG"</formula>
    </cfRule>
  </conditionalFormatting>
  <conditionalFormatting sqref="I25">
    <cfRule type="beginsWith" dxfId="192" priority="2" operator="beginsWith" text="Anz">
      <formula>LEFT(I25,LEN("Anz"))="Anz"</formula>
    </cfRule>
  </conditionalFormatting>
  <conditionalFormatting sqref="I26">
    <cfRule type="containsText" dxfId="191" priority="29" operator="containsText" text="Anzahl Stunden Standard">
      <formula>NOT(ISERROR(SEARCH("Anzahl Stunden Standard",I26)))</formula>
    </cfRule>
    <cfRule type="containsText" dxfId="190" priority="26" operator="containsText" text="Anzahl Stunden">
      <formula>NOT(ISERROR(SEARCH("Anzahl Stunden",I26)))</formula>
    </cfRule>
    <cfRule type="containsText" dxfId="189" priority="30" operator="containsText" text="Anzahl Stunden I">
      <formula>NOT(ISERROR(SEARCH("Anzahl Stunden I",I26)))</formula>
    </cfRule>
  </conditionalFormatting>
  <conditionalFormatting sqref="I28">
    <cfRule type="containsText" dxfId="188" priority="28" operator="containsText" text="Anzahl Stunden II">
      <formula>NOT(ISERROR(SEARCH("Anzahl Stunden II",I28)))</formula>
    </cfRule>
    <cfRule type="containsText" dxfId="187" priority="27" operator="containsText" text="Anzahl Stunden Quali B">
      <formula>NOT(ISERROR(SEARCH("Anzahl Stunden Quali B",I28)))</formula>
    </cfRule>
  </conditionalFormatting>
  <conditionalFormatting sqref="I24:J24">
    <cfRule type="expression" dxfId="186" priority="32">
      <formula>$G$11="ja"</formula>
    </cfRule>
  </conditionalFormatting>
  <conditionalFormatting sqref="I25:J25">
    <cfRule type="expression" dxfId="185" priority="3">
      <formula>$P$10&gt;0.1</formula>
    </cfRule>
  </conditionalFormatting>
  <conditionalFormatting sqref="I50:J50">
    <cfRule type="expression" dxfId="184" priority="123">
      <formula>$G$11="ja"</formula>
    </cfRule>
  </conditionalFormatting>
  <conditionalFormatting sqref="J25">
    <cfRule type="beginsWith" dxfId="183" priority="1" operator="beginsWith" text="Anz">
      <formula>LEFT(J25,LEN("Anz"))="Anz"</formula>
    </cfRule>
  </conditionalFormatting>
  <conditionalFormatting sqref="J26">
    <cfRule type="containsText" dxfId="182" priority="25" operator="containsText" text="Std.">
      <formula>NOT(ISERROR(SEARCH("Std.",J26)))</formula>
    </cfRule>
    <cfRule type="containsText" dxfId="181" priority="24" operator="containsText" text="Std.">
      <formula>NOT(ISERROR(SEARCH("Std.",J26)))</formula>
    </cfRule>
    <cfRule type="containsText" dxfId="180" priority="23" operator="containsText" text="Std.">
      <formula>NOT(ISERROR(SEARCH("Std.",J26)))</formula>
    </cfRule>
  </conditionalFormatting>
  <conditionalFormatting sqref="J28">
    <cfRule type="containsText" dxfId="179" priority="20" operator="containsText" text="Std.">
      <formula>NOT(ISERROR(SEARCH("Std.",J28)))</formula>
    </cfRule>
    <cfRule type="containsText" dxfId="178" priority="21" operator="containsText" text="Std.">
      <formula>NOT(ISERROR(SEARCH("Std.",J28)))</formula>
    </cfRule>
    <cfRule type="containsText" dxfId="177" priority="22" operator="containsText" text="Std.">
      <formula>NOT(ISERROR(SEARCH("Std.",J28)))</formula>
    </cfRule>
  </conditionalFormatting>
  <conditionalFormatting sqref="K22:P22">
    <cfRule type="cellIs" dxfId="176" priority="11" operator="greaterThan">
      <formula>1</formula>
    </cfRule>
  </conditionalFormatting>
  <conditionalFormatting sqref="K26:P26">
    <cfRule type="expression" dxfId="175" priority="40">
      <formula>$G$12="ja"</formula>
    </cfRule>
    <cfRule type="expression" dxfId="174" priority="41">
      <formula>$C$16="Stundenlohn"</formula>
    </cfRule>
  </conditionalFormatting>
  <conditionalFormatting sqref="K50:P50">
    <cfRule type="expression" dxfId="173" priority="133">
      <formula>K51&gt;0.01</formula>
    </cfRule>
    <cfRule type="expression" dxfId="172" priority="134">
      <formula>K51&lt;-0.01</formula>
    </cfRule>
  </conditionalFormatting>
  <conditionalFormatting sqref="K51:P51">
    <cfRule type="cellIs" dxfId="171" priority="155" operator="lessThan">
      <formula>-0.04</formula>
    </cfRule>
    <cfRule type="cellIs" dxfId="170" priority="156" operator="greaterThan">
      <formula>0.04</formula>
    </cfRule>
  </conditionalFormatting>
  <conditionalFormatting sqref="L7">
    <cfRule type="expression" dxfId="169" priority="55">
      <formula>$C$16="Bitte auswählen"</formula>
    </cfRule>
  </conditionalFormatting>
  <conditionalFormatting sqref="L12">
    <cfRule type="expression" dxfId="168" priority="58">
      <formula>$G$10="ja"</formula>
    </cfRule>
  </conditionalFormatting>
  <conditionalFormatting sqref="M8">
    <cfRule type="expression" dxfId="167" priority="54">
      <formula>$C$16="Stundenlohn"</formula>
    </cfRule>
    <cfRule type="expression" dxfId="166" priority="53">
      <formula>$C$16="Monatslohn"</formula>
    </cfRule>
  </conditionalFormatting>
  <conditionalFormatting sqref="M13">
    <cfRule type="expression" dxfId="165" priority="56">
      <formula>$G$10="ja"</formula>
    </cfRule>
  </conditionalFormatting>
  <conditionalFormatting sqref="P1">
    <cfRule type="containsText" dxfId="164" priority="100" operator="containsText" text="Achtung Fehler">
      <formula>NOT(ISERROR(SEARCH("Achtung Fehler",P1)))</formula>
    </cfRule>
  </conditionalFormatting>
  <conditionalFormatting sqref="P7">
    <cfRule type="expression" dxfId="163" priority="57">
      <formula>$N$7="1 Stunde Bereitschaft ="</formula>
    </cfRule>
  </conditionalFormatting>
  <conditionalFormatting sqref="P10">
    <cfRule type="expression" dxfId="162" priority="52">
      <formula>$Q$10="Stunden"</formula>
    </cfRule>
  </conditionalFormatting>
  <conditionalFormatting sqref="S20">
    <cfRule type="beginsWith" dxfId="161" priority="5" operator="beginsWith" text="ACHTUNG">
      <formula>LEFT(S20,LEN("ACHTUNG"))="ACHTUNG"</formula>
    </cfRule>
    <cfRule type="beginsWith" dxfId="160" priority="7" operator="beginsWith" text="Vereinfachtes">
      <formula>LEFT(S20,LEN("Vereinfachtes"))="Vereinfachtes"</formula>
    </cfRule>
    <cfRule type="beginsWith" dxfId="159" priority="6" operator="beginsWith" text="Hinweis">
      <formula>LEFT(S20,LEN("Hinweis"))="Hinweis"</formula>
    </cfRule>
  </conditionalFormatting>
  <conditionalFormatting sqref="S24">
    <cfRule type="beginsWith" dxfId="158" priority="95" operator="beginsWith" text="ACHTUNG">
      <formula>LEFT(S24,LEN("ACHTUNG"))="ACHTUNG"</formula>
    </cfRule>
  </conditionalFormatting>
  <conditionalFormatting sqref="S28">
    <cfRule type="beginsWith" dxfId="157" priority="94" operator="beginsWith" text="ACHTUNG">
      <formula>LEFT(S28,LEN("ACHTUNG"))="ACHTUNG"</formula>
    </cfRule>
  </conditionalFormatting>
  <conditionalFormatting sqref="S36:S37">
    <cfRule type="beginsWith" dxfId="156" priority="99" operator="beginsWith" text="ACHTUNG">
      <formula>LEFT(S36,LEN("ACHTUNG"))="ACHTUNG"</formula>
    </cfRule>
  </conditionalFormatting>
  <dataValidations count="7">
    <dataValidation type="list" allowBlank="1" showInputMessage="1" showErrorMessage="1" sqref="F9:G9" xr:uid="{00000000-0002-0000-0700-000000000000}">
      <formula1>$AB$6:$AB$19</formula1>
    </dataValidation>
    <dataValidation type="list" allowBlank="1" showInputMessage="1" showErrorMessage="1" sqref="G10" xr:uid="{00000000-0002-0000-0700-000001000000}">
      <formula1>$AC$13:$AC$14</formula1>
    </dataValidation>
    <dataValidation type="list" allowBlank="1" showInputMessage="1" showErrorMessage="1" sqref="C17" xr:uid="{00000000-0002-0000-0700-000002000000}">
      <formula1>$Y$11:$Y$12</formula1>
    </dataValidation>
    <dataValidation type="list" allowBlank="1" showInputMessage="1" showErrorMessage="1" sqref="C10" xr:uid="{51A9E431-6D9A-4C3D-B194-5CC441023E30}">
      <formula1>$X$6:$X$8</formula1>
    </dataValidation>
    <dataValidation type="list" allowBlank="1" showInputMessage="1" showErrorMessage="1" sqref="C16" xr:uid="{00000000-0002-0000-0700-000004000000}">
      <formula1>$X$11:$X$13</formula1>
    </dataValidation>
    <dataValidation type="list" allowBlank="1" showInputMessage="1" showErrorMessage="1" sqref="G11:G12" xr:uid="{00000000-0002-0000-0700-000005000000}">
      <formula1>$AH$6:$AH$8</formula1>
    </dataValidation>
    <dataValidation type="list" allowBlank="1" showInputMessage="1" showErrorMessage="1" sqref="G13" xr:uid="{00000000-0002-0000-0700-000006000000}">
      <formula1>$Y$6:$Y$8</formula1>
    </dataValidation>
  </dataValidations>
  <hyperlinks>
    <hyperlink ref="G1:H3" location="Fehler7" display="Fehler7" xr:uid="{00000000-0004-0000-0700-000000000000}"/>
    <hyperlink ref="P1:Q3" location="Fehler7" display="Fehler7" xr:uid="{00000000-0004-0000-07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BD"/>
    <pageSetUpPr fitToPage="1"/>
  </sheetPr>
  <dimension ref="A1:AK66"/>
  <sheetViews>
    <sheetView showGridLines="0" showZeros="0" zoomScaleNormal="100" workbookViewId="0">
      <selection activeCell="C6" sqref="C6:D6"/>
    </sheetView>
  </sheetViews>
  <sheetFormatPr baseColWidth="10" defaultColWidth="11.42578125" defaultRowHeight="12.75" x14ac:dyDescent="0.2"/>
  <cols>
    <col min="1" max="1" width="20.85546875" style="1" customWidth="1"/>
    <col min="2" max="2" width="4.5703125" style="1" bestFit="1" customWidth="1"/>
    <col min="3" max="8" width="13.7109375" style="1" customWidth="1"/>
    <col min="9" max="9" width="21.140625" style="1" customWidth="1"/>
    <col min="10" max="10" width="4.5703125" style="1" bestFit="1" customWidth="1"/>
    <col min="11" max="16" width="12.28515625" style="1" customWidth="1"/>
    <col min="17" max="17" width="14.28515625" style="1" bestFit="1" customWidth="1"/>
    <col min="18" max="18" width="5" style="1" customWidth="1"/>
    <col min="19" max="20" width="21" style="1" customWidth="1"/>
    <col min="21" max="21" width="15.7109375" style="1" customWidth="1"/>
    <col min="22" max="22" width="8" style="1" customWidth="1"/>
    <col min="23" max="23" width="5.42578125" style="1" customWidth="1"/>
    <col min="24" max="24" width="23.85546875" style="68" hidden="1" customWidth="1"/>
    <col min="25" max="26" width="22.42578125" style="68" hidden="1" customWidth="1"/>
    <col min="27" max="27" width="30.5703125" style="68" hidden="1" customWidth="1"/>
    <col min="28" max="28" width="22.7109375" style="68" hidden="1" customWidth="1"/>
    <col min="29" max="29" width="13" style="68" hidden="1" customWidth="1"/>
    <col min="30" max="30" width="12.28515625" style="68" hidden="1" customWidth="1"/>
    <col min="31" max="31" width="5.28515625" style="68" hidden="1" customWidth="1"/>
    <col min="32" max="32" width="15.7109375" style="1" hidden="1" customWidth="1"/>
    <col min="33" max="33" width="10" style="1" hidden="1" customWidth="1"/>
    <col min="34" max="34" width="13.5703125" style="1" hidden="1" customWidth="1"/>
    <col min="35" max="36" width="9.28515625" style="1" hidden="1" customWidth="1"/>
    <col min="37" max="37" width="11.42578125" style="1" hidden="1" customWidth="1"/>
    <col min="38" max="16384" width="11.42578125" style="1"/>
  </cols>
  <sheetData>
    <row r="1" spans="1:35" ht="12.75" customHeight="1" x14ac:dyDescent="0.2">
      <c r="A1" s="454" t="str">
        <f>'AP 1'!A1:C1</f>
        <v>ArbeitgeberIn</v>
      </c>
      <c r="B1" s="454"/>
      <c r="C1" s="454"/>
      <c r="D1" s="453">
        <v>45657</v>
      </c>
      <c r="E1" s="453"/>
      <c r="F1" s="453"/>
      <c r="G1" s="460" t="str">
        <f>IF($W45&gt;4,"Achtung Fehler!",IF($W$45&gt;0,"Achtung Hinweis!",""))</f>
        <v/>
      </c>
      <c r="H1" s="460"/>
      <c r="I1" s="455" t="str">
        <f>A1</f>
        <v>ArbeitgeberIn</v>
      </c>
      <c r="J1" s="455"/>
      <c r="K1" s="455"/>
      <c r="L1" s="453">
        <f>D1</f>
        <v>45657</v>
      </c>
      <c r="M1" s="453"/>
      <c r="N1" s="453"/>
      <c r="P1" s="460" t="str">
        <f>IF($W45&gt;4,"Achtung Fehler!",IF($W45&gt;0,"Achtung Hinweis!",""))</f>
        <v/>
      </c>
      <c r="Q1" s="460"/>
      <c r="S1" s="256" t="s">
        <v>44</v>
      </c>
      <c r="T1" s="270"/>
      <c r="U1" s="271" t="s">
        <v>45</v>
      </c>
      <c r="V1" s="272" t="s">
        <v>46</v>
      </c>
      <c r="W1" s="68"/>
      <c r="AE1" s="1"/>
    </row>
    <row r="2" spans="1:35" ht="12.75" customHeight="1" x14ac:dyDescent="0.2">
      <c r="A2" s="454" t="str">
        <f>'AP 1'!A2:C2</f>
        <v>Ort</v>
      </c>
      <c r="B2" s="454"/>
      <c r="C2" s="454"/>
      <c r="D2" s="453"/>
      <c r="E2" s="453"/>
      <c r="F2" s="453"/>
      <c r="G2" s="460"/>
      <c r="H2" s="460"/>
      <c r="I2" s="455" t="str">
        <f>A2</f>
        <v>Ort</v>
      </c>
      <c r="J2" s="455"/>
      <c r="K2" s="455"/>
      <c r="L2" s="453"/>
      <c r="M2" s="453"/>
      <c r="N2" s="453"/>
      <c r="P2" s="460"/>
      <c r="Q2" s="460"/>
      <c r="S2" s="259" t="s">
        <v>48</v>
      </c>
      <c r="T2" s="2"/>
      <c r="U2" s="228">
        <f>IF(C16="Stundenlohn",(M8*M7*52)+(M13*M12*52),(M8+Y13)*12)</f>
        <v>0</v>
      </c>
      <c r="V2" s="273"/>
      <c r="W2" s="68"/>
      <c r="Y2" s="447" t="s">
        <v>49</v>
      </c>
      <c r="AA2" s="447" t="s">
        <v>50</v>
      </c>
      <c r="AE2" s="1"/>
    </row>
    <row r="3" spans="1:35" ht="5.0999999999999996" customHeight="1" x14ac:dyDescent="0.2">
      <c r="G3" s="460"/>
      <c r="H3" s="460"/>
      <c r="P3" s="460"/>
      <c r="Q3" s="460"/>
      <c r="S3" s="264"/>
      <c r="V3" s="260"/>
      <c r="W3" s="68"/>
      <c r="Y3" s="447"/>
      <c r="AA3" s="447"/>
      <c r="AE3" s="1"/>
    </row>
    <row r="4" spans="1:35" ht="15" customHeight="1" thickBot="1" x14ac:dyDescent="0.3">
      <c r="A4" s="41" t="s">
        <v>51</v>
      </c>
      <c r="B4" s="41"/>
      <c r="C4" s="41"/>
      <c r="D4" s="41"/>
      <c r="E4" s="42"/>
      <c r="F4" s="42"/>
      <c r="G4" s="42"/>
      <c r="H4" s="51" t="str">
        <f>CONCATENATE($C$6," ",$C$7)</f>
        <v xml:space="preserve"> </v>
      </c>
      <c r="I4" s="456" t="s">
        <v>52</v>
      </c>
      <c r="J4" s="456"/>
      <c r="K4" s="456"/>
      <c r="L4" s="456"/>
      <c r="M4" s="42"/>
      <c r="N4" s="42"/>
      <c r="O4" s="42"/>
      <c r="P4" s="42"/>
      <c r="Q4" s="51" t="str">
        <f>CONCATENATE($C$6," ",$C$7)</f>
        <v xml:space="preserve"> </v>
      </c>
      <c r="S4" s="450" t="s">
        <v>53</v>
      </c>
      <c r="T4" s="451"/>
      <c r="U4" s="274">
        <f>((U2-(U2*SUM(T8:T14,T16,Y9)+(12*T15)))*Z14)</f>
        <v>0</v>
      </c>
      <c r="V4" s="275">
        <f>U4/365</f>
        <v>0</v>
      </c>
      <c r="W4" s="68"/>
      <c r="X4" s="445" t="s">
        <v>54</v>
      </c>
      <c r="Y4" s="447"/>
      <c r="Z4" s="445" t="s">
        <v>55</v>
      </c>
      <c r="AA4" s="447"/>
      <c r="AB4" s="448" t="s">
        <v>56</v>
      </c>
      <c r="AC4" s="449" t="s">
        <v>57</v>
      </c>
      <c r="AD4" s="446" t="s">
        <v>58</v>
      </c>
      <c r="AE4" s="1"/>
      <c r="AH4" s="445" t="s">
        <v>59</v>
      </c>
      <c r="AI4" s="445"/>
    </row>
    <row r="5" spans="1:35" ht="5.0999999999999996" customHeight="1" x14ac:dyDescent="0.2">
      <c r="X5" s="445"/>
      <c r="Y5" s="447"/>
      <c r="Z5" s="445"/>
      <c r="AA5" s="447"/>
      <c r="AB5" s="448"/>
      <c r="AC5" s="449"/>
      <c r="AD5" s="446"/>
      <c r="AE5" s="2"/>
      <c r="AF5" s="4"/>
      <c r="AG5" s="48"/>
      <c r="AH5" s="445"/>
      <c r="AI5" s="445"/>
    </row>
    <row r="6" spans="1:35" s="2" customFormat="1" ht="13.5" thickBot="1" x14ac:dyDescent="0.25">
      <c r="A6" s="2" t="s">
        <v>60</v>
      </c>
      <c r="C6" s="433"/>
      <c r="D6" s="433"/>
      <c r="E6" s="2" t="s">
        <v>61</v>
      </c>
      <c r="F6" s="457"/>
      <c r="G6" s="433"/>
      <c r="I6" s="6" t="s">
        <v>62</v>
      </c>
      <c r="N6" s="6" t="str">
        <f>IF(AND(C16="Stundenlohn",G11="ja"),"Berechnung Entschädigung 'Echte Arbeit auf Abruf'","")</f>
        <v/>
      </c>
      <c r="W6" s="190"/>
      <c r="X6" s="2" t="s">
        <v>63</v>
      </c>
      <c r="Y6" s="2" t="s">
        <v>63</v>
      </c>
      <c r="Z6" s="2" t="str">
        <f>IF(OR(G13="vereinfacht",G13="Bitte auswählen"),"vereinfacht","")</f>
        <v>vereinfacht</v>
      </c>
      <c r="AA6" s="59" t="str">
        <f>IF('Lohnbescheinigung (vereinfacht)'!H43&lt;57360,"nein","ja")</f>
        <v>nein</v>
      </c>
      <c r="AB6" s="238" t="s">
        <v>63</v>
      </c>
      <c r="AC6" s="59" t="str">
        <f>IF(OR(F9="Eltern",F9="Kind", F9="Grosseltern", F9="Enkelkind", F9="EhepartnerIn", F9="Eingetragene Partnerschaft", F9="KonkubinatspartnerIn"),"ja","nein")</f>
        <v>nein</v>
      </c>
      <c r="AD6" s="59" t="e">
        <f>IF(C16="Stundenlohn",IF(OR(M8&lt;21.6,M8&gt;21.6),"nein",IF(M13="","ja",IF(OR(M13&lt;21.6,M13&gt;21.6),"nein","ja"))),IF(C17="nein",IF(AD9=3930,"ja","nein"),IF(AD10=3630,"ja","nein")))</f>
        <v>#DIV/0!</v>
      </c>
      <c r="AF6" s="5" t="s">
        <v>64</v>
      </c>
      <c r="AG6" s="49"/>
      <c r="AH6" s="2" t="s">
        <v>63</v>
      </c>
    </row>
    <row r="7" spans="1:35" s="2" customFormat="1" x14ac:dyDescent="0.2">
      <c r="A7" s="2" t="s">
        <v>65</v>
      </c>
      <c r="C7" s="433"/>
      <c r="D7" s="433"/>
      <c r="E7" s="2" t="s">
        <v>66</v>
      </c>
      <c r="F7" s="457"/>
      <c r="G7" s="457"/>
      <c r="I7" s="2" t="str">
        <f>IF(C16="Stundenlohn",IF(G10="ja","Pensum I in %","Pensum in %"),IF(C16="Monatslohn","Pensum in %",""))</f>
        <v/>
      </c>
      <c r="L7" s="398"/>
      <c r="M7" s="252">
        <f>42*L7</f>
        <v>0</v>
      </c>
      <c r="N7" s="2" t="str">
        <f>IF(AND(C16="Stundenlohn",G11="ja"),"1 Stunde Bereitschaft =","")</f>
        <v/>
      </c>
      <c r="P7" s="318"/>
      <c r="Q7" s="2" t="str">
        <f>IF(AND(C16="Stundenlohn",G11="ja"),"vom Std.-Lohn","")</f>
        <v/>
      </c>
      <c r="S7" s="256" t="s">
        <v>67</v>
      </c>
      <c r="T7" s="257" t="s">
        <v>68</v>
      </c>
      <c r="U7" s="258"/>
      <c r="W7" s="1"/>
      <c r="X7" s="2" t="s">
        <v>69</v>
      </c>
      <c r="Y7" s="2" t="s">
        <v>70</v>
      </c>
      <c r="Z7" s="59" t="str">
        <f>IF(OR(G13="ordentlich",G13="Bitte auswählen"),"ordentlich","")</f>
        <v>ordentlich</v>
      </c>
      <c r="AA7" s="59"/>
      <c r="AB7" s="59" t="s">
        <v>71</v>
      </c>
      <c r="AD7" s="59" t="e">
        <f>IF(C16="Stundenlohn",IF(OR(M8&lt;21.6,M8&gt;56.5),"nein",IF(M13="","ja",IF(OR(M13&lt;21.6,M13&gt;56.5),"nein","ja"))),IF(C17="nein",IF(AD9&lt;3930,"nein","ja"),IF(AD10&lt;3630,"nein","ja")))</f>
        <v>#DIV/0!</v>
      </c>
      <c r="AF7" s="5" t="s">
        <v>72</v>
      </c>
      <c r="AG7" s="49">
        <f>IF(C16="Stundenlohn",(M7*52/12)*12*M8,(M8)*12)</f>
        <v>0</v>
      </c>
      <c r="AH7" s="2" t="s">
        <v>73</v>
      </c>
    </row>
    <row r="8" spans="1:35" s="2" customFormat="1" ht="12" customHeight="1" x14ac:dyDescent="0.2">
      <c r="A8" s="2" t="s">
        <v>74</v>
      </c>
      <c r="C8" s="433"/>
      <c r="D8" s="433"/>
      <c r="E8" s="2" t="s">
        <v>75</v>
      </c>
      <c r="F8" s="433"/>
      <c r="G8" s="433"/>
      <c r="I8" s="5" t="str">
        <f>IF(AND($C$16="Stundenlohn",OR(H10="Bitte auswählen",G10="nein")),"Stundenlohn (mit Ferienzuschlag)",IF(AND($C$16="Stundenlohn",$G$10="JA"),"Stundenlohn I (mit Ferienzuschlag)",IF(C16="Monatslohn","Monatslohn","")))</f>
        <v/>
      </c>
      <c r="L8" s="4">
        <v>0</v>
      </c>
      <c r="M8" s="255"/>
      <c r="S8" s="259" t="s">
        <v>76</v>
      </c>
      <c r="T8" s="261">
        <f>IF(F7="",0,IF(DATEDIF($F$7,D1,"Y")&lt;18,0,5.3%))</f>
        <v>0</v>
      </c>
      <c r="U8" s="260"/>
      <c r="W8" s="158"/>
      <c r="X8" s="2" t="s">
        <v>77</v>
      </c>
      <c r="Y8" s="59" t="s">
        <v>78</v>
      </c>
      <c r="Z8" s="59"/>
      <c r="AB8" s="59" t="s">
        <v>79</v>
      </c>
      <c r="AD8" s="2" t="e">
        <f>IF(C16="Stundenlohn",IF(OR(M8&lt;21.6,M8&gt;56.5,M13&lt;21.6,M13&gt;56.5),"nein","ja"),IF(C17="nein",IF(AD9&lt;10290.1,"nein","ja"),IF(AD10&lt;9500.1,"nein","ja")))</f>
        <v>#DIV/0!</v>
      </c>
      <c r="AF8" s="5"/>
      <c r="AG8" s="49"/>
      <c r="AH8" s="2" t="s">
        <v>80</v>
      </c>
    </row>
    <row r="9" spans="1:35" s="2" customFormat="1" x14ac:dyDescent="0.2">
      <c r="A9" s="2" t="s">
        <v>81</v>
      </c>
      <c r="C9" s="433"/>
      <c r="D9" s="433"/>
      <c r="E9" s="2" t="s">
        <v>56</v>
      </c>
      <c r="F9" s="452" t="s">
        <v>63</v>
      </c>
      <c r="G9" s="452"/>
      <c r="I9" s="4" t="str">
        <f>IF($C$16="Stundenlohn","Ferienzuschlag","")</f>
        <v/>
      </c>
      <c r="K9" s="4" t="str">
        <f>IF($C$16="Stundenlohn",(IF(L9=8.33%,"4 Wochen","5 Wochen")),"")</f>
        <v/>
      </c>
      <c r="L9" s="48" t="str">
        <f>IF($C$16="Stundenlohn",(IF(OR((DATEDIF($F$7,$C$21,"Y")&lt;20),(DATEDIF($F$7,$C$21,"Y")&gt;49)),10.64%,8.33%)),"")</f>
        <v/>
      </c>
      <c r="M9" s="253" t="str">
        <f>IF($C$16="stundenlohn",M8/(1+L9)*L9,"")</f>
        <v/>
      </c>
      <c r="N9" s="6" t="str">
        <f>IF(C16="Stundenlohn","Umrechnung Nachteinsätze in Stunden (Tarif Standard)","")</f>
        <v/>
      </c>
      <c r="S9" s="259" t="s">
        <v>82</v>
      </c>
      <c r="T9" s="261">
        <f>IF(DATEDIF($F$7,D1,"Y")&lt;18,0,IF(DATEDIF($F$7,C21,"Y")&gt;(IF($C$10="weiblich",63,64)),0,1.1%))</f>
        <v>0</v>
      </c>
      <c r="U9" s="262"/>
      <c r="W9" s="191"/>
      <c r="Y9" s="75">
        <f>IF(G13="Bitte auswählen",0,IF(AND(Z6="vereinfacht",'AP 1'!Z6="vereinfacht",'AP 2'!Z6="vereinfacht",'AP 3'!Z6="vereinfacht",'AP 5'!Z6="vereinfacht",'AP 6'!Z6="vereinfacht",'AP 7'!Z6="vereinfacht",'AP 4'!Z6="vereinfacht",'AP 9'!Z6="vereinfacht"),IF(DATEDIF($F$7,D21,"Y")&lt;17,0%,5%),0%))</f>
        <v>0</v>
      </c>
      <c r="Z9" s="59"/>
      <c r="AB9" s="59" t="s">
        <v>83</v>
      </c>
      <c r="AD9" s="59" t="e">
        <f>ROUND(M8/L7,0)</f>
        <v>#DIV/0!</v>
      </c>
      <c r="AF9" s="5"/>
      <c r="AG9" s="49"/>
    </row>
    <row r="10" spans="1:35" s="2" customFormat="1" x14ac:dyDescent="0.2">
      <c r="A10" s="2" t="s">
        <v>54</v>
      </c>
      <c r="C10" s="396" t="s">
        <v>63</v>
      </c>
      <c r="E10" s="2" t="str">
        <f>IF(C16="Stundenlohn","Haben Sie 2 versch. Std-Löhne?","")</f>
        <v/>
      </c>
      <c r="G10" s="409"/>
      <c r="H10" s="177" t="str">
        <f>IF(G10&gt;1,"",IF(C16="Stundenlohn","Bitte auswählen",""))</f>
        <v/>
      </c>
      <c r="I10" s="5" t="str">
        <f>IF(AND($C$16="Stundenlohn",OR(H10="Bitte auswählen",G10="nein")),"Stundenlohn (ohne Ferienzuschlag)",IF(AND($C$16="Stundenlohn",$G$10="JA"),"Stundenlohn I (ohne Ferienzuschlag)",""))</f>
        <v/>
      </c>
      <c r="M10" s="254" t="str">
        <f>IF($C$16="stundenlohn",M8-M9,"")</f>
        <v/>
      </c>
      <c r="N10" s="2" t="str">
        <f>IF(C16="Stundenlohn","1 Nacht entsprechen","")</f>
        <v/>
      </c>
      <c r="P10" s="276"/>
      <c r="Q10" s="2" t="str">
        <f>IF(C16="Stundenlohn","Stunden","")</f>
        <v/>
      </c>
      <c r="S10" s="259"/>
      <c r="T10" s="261"/>
      <c r="U10" s="262"/>
      <c r="W10" s="1"/>
      <c r="X10" s="6" t="s">
        <v>84</v>
      </c>
      <c r="Y10" s="6" t="s">
        <v>85</v>
      </c>
      <c r="Z10" s="64" t="s">
        <v>86</v>
      </c>
      <c r="AB10" s="59" t="s">
        <v>87</v>
      </c>
      <c r="AD10" s="59" t="e">
        <f>ROUND(M8/L7,0)</f>
        <v>#DIV/0!</v>
      </c>
    </row>
    <row r="11" spans="1:35" s="2" customFormat="1" ht="13.5" customHeight="1" x14ac:dyDescent="0.2">
      <c r="A11" s="2" t="s">
        <v>88</v>
      </c>
      <c r="C11" s="396"/>
      <c r="E11" s="2" t="s">
        <v>89</v>
      </c>
      <c r="G11" s="399" t="s">
        <v>63</v>
      </c>
      <c r="S11" s="259" t="s">
        <v>90</v>
      </c>
      <c r="T11" s="405"/>
      <c r="U11" s="263" t="s">
        <v>91</v>
      </c>
      <c r="W11" s="1"/>
      <c r="X11" s="2" t="s">
        <v>63</v>
      </c>
      <c r="Y11" s="2" t="str">
        <f>IF(C16="Monatslohn","ja","")</f>
        <v/>
      </c>
      <c r="Z11" s="189">
        <f>IF(G13="vereinfacht",126.8%,0)</f>
        <v>0</v>
      </c>
      <c r="AB11" s="59" t="s">
        <v>92</v>
      </c>
      <c r="AD11" s="59"/>
    </row>
    <row r="12" spans="1:35" s="2" customFormat="1" ht="13.5" customHeight="1" x14ac:dyDescent="0.2">
      <c r="A12" s="2" t="s">
        <v>93</v>
      </c>
      <c r="C12" s="396"/>
      <c r="E12" s="2" t="s">
        <v>94</v>
      </c>
      <c r="G12" s="399" t="s">
        <v>63</v>
      </c>
      <c r="I12" s="2" t="str">
        <f>IF(G10="ja","Pensum II in %","")</f>
        <v/>
      </c>
      <c r="L12" s="227"/>
      <c r="M12" s="252">
        <f>42*L12</f>
        <v>0</v>
      </c>
      <c r="S12" s="264"/>
      <c r="T12" s="1"/>
      <c r="U12" s="260"/>
      <c r="W12" s="1"/>
      <c r="X12" s="2" t="s">
        <v>95</v>
      </c>
      <c r="Y12" s="2" t="str">
        <f>IF(C16="Monatslohn","nein","")</f>
        <v/>
      </c>
      <c r="Z12" s="189">
        <f>IF(AND(G13="ordentlich",T15=0,T16=0),119.9%,0)</f>
        <v>0</v>
      </c>
      <c r="AA12" s="59"/>
      <c r="AB12" s="59" t="s">
        <v>96</v>
      </c>
      <c r="AC12" s="64" t="s">
        <v>97</v>
      </c>
      <c r="AD12" s="59"/>
    </row>
    <row r="13" spans="1:35" s="2" customFormat="1" x14ac:dyDescent="0.2">
      <c r="A13" s="2" t="s">
        <v>98</v>
      </c>
      <c r="C13" s="396"/>
      <c r="E13" s="2" t="s">
        <v>99</v>
      </c>
      <c r="G13" s="399" t="s">
        <v>63</v>
      </c>
      <c r="I13" s="5" t="str">
        <f>IF(G10="ja","Stundenlohn II (mit Ferienzuschlag)","")</f>
        <v/>
      </c>
      <c r="L13" s="4"/>
      <c r="M13" s="255"/>
      <c r="S13" s="259" t="s">
        <v>100</v>
      </c>
      <c r="T13" s="406"/>
      <c r="U13" s="263" t="s">
        <v>91</v>
      </c>
      <c r="W13" s="68"/>
      <c r="X13" s="2" t="s">
        <v>101</v>
      </c>
      <c r="Y13" s="2">
        <f>IF(C17="ja",M8/12,0)</f>
        <v>0</v>
      </c>
      <c r="Z13" s="189">
        <f>IF(OR(T15&gt;0,T16&gt;0),129.2%,0)</f>
        <v>0</v>
      </c>
      <c r="AA13" s="59"/>
      <c r="AB13" s="59" t="s">
        <v>102</v>
      </c>
      <c r="AC13" s="59" t="s">
        <v>73</v>
      </c>
      <c r="AD13" s="59"/>
    </row>
    <row r="14" spans="1:35" s="2" customFormat="1" x14ac:dyDescent="0.2">
      <c r="A14" s="2" t="s">
        <v>103</v>
      </c>
      <c r="C14" s="397"/>
      <c r="E14" s="2" t="s">
        <v>104</v>
      </c>
      <c r="F14" s="433"/>
      <c r="G14" s="433"/>
      <c r="I14" s="4" t="str">
        <f>IF(G10="ja","Ferienzuschlag","")</f>
        <v/>
      </c>
      <c r="K14" s="4" t="str">
        <f>IF(G10="ja",(IF(L14=8.33%,"4 Wochen","5 Wochen")),"")</f>
        <v/>
      </c>
      <c r="L14" s="48" t="str">
        <f>IF(G10="ja",(IF(OR((DATEDIF($F$7,$C$21,"Y")&lt;20),(DATEDIF($F$7,$C$21,"Y")&gt;49)),10.64%,8.33%)),"")</f>
        <v/>
      </c>
      <c r="M14" s="253" t="str">
        <f>IF(G10="ja",M13/(1+L14)*L14,"")</f>
        <v/>
      </c>
      <c r="S14" s="264"/>
      <c r="T14" s="1"/>
      <c r="U14" s="260"/>
      <c r="W14" s="68"/>
      <c r="Y14" s="157">
        <f>M8</f>
        <v>0</v>
      </c>
      <c r="Z14" s="189">
        <f>SUM(Z11:Z13)</f>
        <v>0</v>
      </c>
      <c r="AA14" s="59"/>
      <c r="AB14" s="58" t="s">
        <v>105</v>
      </c>
      <c r="AC14" s="59" t="s">
        <v>80</v>
      </c>
      <c r="AD14" s="59"/>
    </row>
    <row r="15" spans="1:35" s="2" customFormat="1" ht="12.75" customHeight="1" x14ac:dyDescent="0.2">
      <c r="A15" s="2" t="s">
        <v>106</v>
      </c>
      <c r="C15" s="397"/>
      <c r="E15" s="2" t="s">
        <v>107</v>
      </c>
      <c r="F15" s="433"/>
      <c r="G15" s="433"/>
      <c r="I15" s="5" t="str">
        <f>IF(G10="ja","Stundenlohn II (ohne Ferienzuschlag)","")</f>
        <v/>
      </c>
      <c r="M15" s="254" t="str">
        <f>IF(G10="ja",M13-M14,"")</f>
        <v/>
      </c>
      <c r="S15" s="259" t="s">
        <v>108</v>
      </c>
      <c r="T15" s="407"/>
      <c r="U15" s="265" t="s">
        <v>109</v>
      </c>
      <c r="W15" s="1"/>
      <c r="Y15" s="2">
        <f>SUM(Y13:Y14)</f>
        <v>0</v>
      </c>
      <c r="Z15" s="59"/>
      <c r="AA15" s="59"/>
      <c r="AB15" s="59" t="s">
        <v>110</v>
      </c>
      <c r="AD15" s="59"/>
    </row>
    <row r="16" spans="1:35" s="2" customFormat="1" ht="12.75" customHeight="1" thickBot="1" x14ac:dyDescent="0.25">
      <c r="A16" s="2" t="s">
        <v>84</v>
      </c>
      <c r="C16" s="396" t="s">
        <v>63</v>
      </c>
      <c r="E16" s="2" t="s">
        <v>111</v>
      </c>
      <c r="F16" s="433"/>
      <c r="G16" s="433"/>
      <c r="S16" s="266" t="s">
        <v>112</v>
      </c>
      <c r="T16" s="408"/>
      <c r="U16" s="267" t="s">
        <v>113</v>
      </c>
      <c r="W16" s="1"/>
      <c r="Z16" s="59"/>
      <c r="AA16" s="59"/>
      <c r="AB16" s="58" t="s">
        <v>114</v>
      </c>
      <c r="AC16" s="59"/>
      <c r="AD16" s="59"/>
    </row>
    <row r="17" spans="1:37" s="2" customFormat="1" ht="12.75" customHeight="1" thickBot="1" x14ac:dyDescent="0.25">
      <c r="A17" s="2" t="str">
        <f>IF(C16="Monatslohn","13. Monatslohn","")</f>
        <v/>
      </c>
      <c r="C17" s="339"/>
      <c r="D17" s="177" t="str">
        <f>IF(C17&gt;1,"",IF(A17="13. Monatslohn","Bitte auswählen",""))</f>
        <v/>
      </c>
      <c r="H17" s="176"/>
      <c r="W17" s="1"/>
      <c r="X17" s="59"/>
      <c r="Y17" s="59"/>
      <c r="Z17" s="59"/>
      <c r="AA17" s="59"/>
      <c r="AB17" s="59" t="s">
        <v>115</v>
      </c>
      <c r="AC17" s="59"/>
      <c r="AD17" s="59"/>
    </row>
    <row r="18" spans="1:37" s="2" customFormat="1" ht="12" customHeight="1" x14ac:dyDescent="0.2">
      <c r="H18" s="176"/>
      <c r="M18" s="176"/>
      <c r="S18" s="437" t="s">
        <v>116</v>
      </c>
      <c r="T18" s="438"/>
      <c r="U18" s="439"/>
      <c r="V18" s="350"/>
      <c r="X18" s="159"/>
      <c r="Y18" s="160"/>
      <c r="Z18" s="59"/>
      <c r="AA18" s="59"/>
      <c r="AB18" s="59"/>
      <c r="AC18" s="2" t="s">
        <v>117</v>
      </c>
      <c r="AD18" s="59"/>
      <c r="AE18" s="59"/>
    </row>
    <row r="19" spans="1:37" s="2" customFormat="1" ht="15" x14ac:dyDescent="0.25">
      <c r="A19" s="41" t="s">
        <v>118</v>
      </c>
      <c r="B19" s="41"/>
      <c r="C19" s="52"/>
      <c r="D19" s="52"/>
      <c r="E19" s="52"/>
      <c r="F19" s="52"/>
      <c r="G19" s="52"/>
      <c r="H19" s="52"/>
      <c r="I19" s="41" t="s">
        <v>118</v>
      </c>
      <c r="J19" s="41"/>
      <c r="K19" s="52"/>
      <c r="L19" s="52"/>
      <c r="M19" s="52"/>
      <c r="N19" s="52"/>
      <c r="O19" s="52"/>
      <c r="P19" s="52"/>
      <c r="Q19" s="52"/>
      <c r="S19" s="268"/>
      <c r="U19" s="269"/>
      <c r="X19" s="159"/>
      <c r="Y19" s="160"/>
      <c r="Z19" s="59"/>
      <c r="AA19" s="59"/>
      <c r="AB19" s="59"/>
      <c r="AC19" s="59" t="s">
        <v>119</v>
      </c>
      <c r="AD19" s="59"/>
      <c r="AE19" s="59"/>
    </row>
    <row r="20" spans="1:37" s="2" customFormat="1" ht="5.0999999999999996" customHeight="1" thickBot="1" x14ac:dyDescent="0.25">
      <c r="C20" s="80"/>
      <c r="D20" s="81"/>
      <c r="E20" s="5"/>
      <c r="F20" s="5"/>
      <c r="G20" s="5"/>
      <c r="H20" s="49"/>
      <c r="I20" s="49"/>
      <c r="K20" s="49"/>
      <c r="S20" s="434">
        <f>IF(F7="",0,IF(OR(G13="ordentlich",G13="Bitte auswählen"),0,(IF(G13="vereinfacht",IF(OR($F$9="EhepartnerIn",$F$9="Kind",$F$9="Eingetragene Partnerschaft"),"ACHTUNG: EhepartnerInnen und Kinder des Arbeitgebers dürfen das vereinfachte Abrechnungsverfahren nicht anwenden!",IF(OR(Q38+Q39&gt;22049.99,U2&gt;22049.99),"Vereinfachtes Abrechnungsverfahren darf ab CHF 22'050 Jahreslohn nicht angewendet werden!",IF(AA6="ja","Vereinfachtes Abrechnungsverfahren darf ab CHF 58'800 Gesamtlohnsumme nicht angewendet werden!",IF(DATEDIF($F$7,$D$1,"Y")&lt;19,0,IF(G13="ordentlich",0,0)))))))))</f>
        <v>0</v>
      </c>
      <c r="T20" s="435"/>
      <c r="U20" s="436"/>
      <c r="V20" s="384"/>
      <c r="X20" s="159"/>
      <c r="Y20" s="160"/>
      <c r="Z20" s="59"/>
      <c r="AA20" s="59"/>
      <c r="AB20" s="59"/>
      <c r="AD20" s="59"/>
      <c r="AE20" s="59"/>
    </row>
    <row r="21" spans="1:37" s="2" customFormat="1" ht="15" customHeight="1" x14ac:dyDescent="0.2">
      <c r="A21" s="320">
        <f>D1</f>
        <v>45657</v>
      </c>
      <c r="B21" s="277"/>
      <c r="C21" s="82">
        <v>45292</v>
      </c>
      <c r="D21" s="82">
        <v>45323</v>
      </c>
      <c r="E21" s="82">
        <v>45352</v>
      </c>
      <c r="F21" s="82">
        <v>45383</v>
      </c>
      <c r="G21" s="82">
        <v>45413</v>
      </c>
      <c r="H21" s="69">
        <v>45444</v>
      </c>
      <c r="I21" s="320">
        <f t="shared" ref="I21:I52" si="0">A21</f>
        <v>45657</v>
      </c>
      <c r="J21" s="277"/>
      <c r="K21" s="82">
        <v>45474</v>
      </c>
      <c r="L21" s="82">
        <v>45505</v>
      </c>
      <c r="M21" s="82">
        <v>45536</v>
      </c>
      <c r="N21" s="82">
        <v>45566</v>
      </c>
      <c r="O21" s="82">
        <v>45597</v>
      </c>
      <c r="P21" s="69">
        <v>45627</v>
      </c>
      <c r="Q21" s="97" t="s">
        <v>120</v>
      </c>
      <c r="S21" s="434"/>
      <c r="T21" s="435"/>
      <c r="U21" s="436"/>
      <c r="V21" s="384"/>
      <c r="W21" s="2">
        <f>IF(S20="Hinweis: Wenn der AHV Freibetrag nicht überschritten wird, muss ein Lohnausweis erstellt werden!",1,IF(S20=0,0,5))</f>
        <v>0</v>
      </c>
      <c r="X21" s="159"/>
      <c r="Y21" s="160"/>
      <c r="Z21" s="59"/>
      <c r="AA21" s="59"/>
      <c r="AB21" s="59"/>
      <c r="AC21" s="59"/>
      <c r="AD21" s="59"/>
      <c r="AE21" s="59"/>
    </row>
    <row r="22" spans="1:37" s="2" customFormat="1" ht="15" customHeight="1" x14ac:dyDescent="0.2">
      <c r="A22" s="321" t="str">
        <f>IF($C$16="Stundenlohn","",IF(C16="Bitte auswählen","","Monatslohn"))</f>
        <v/>
      </c>
      <c r="B22" s="278" t="str">
        <f>IF(A22="Monatslohn","CHF"," ")</f>
        <v xml:space="preserve"> </v>
      </c>
      <c r="C22" s="294">
        <f t="shared" ref="C22:H22" si="1">IF(OR($C$16="Stundenlohn",$C$16="Bitte auswählen"),0,IF($C$16="Monatslohn",(IF(OR(MONTH(IF($C$14&lt;$C$21,$C$21,$C$14))&gt;MONTH(C21),MONTH(IF($C$15="",$D$1,$C$15))&lt;MONTH(C21)),0,$M$8))))</f>
        <v>0</v>
      </c>
      <c r="D22" s="294">
        <f t="shared" si="1"/>
        <v>0</v>
      </c>
      <c r="E22" s="294">
        <f t="shared" si="1"/>
        <v>0</v>
      </c>
      <c r="F22" s="294">
        <f t="shared" si="1"/>
        <v>0</v>
      </c>
      <c r="G22" s="294">
        <f t="shared" si="1"/>
        <v>0</v>
      </c>
      <c r="H22" s="295">
        <f t="shared" si="1"/>
        <v>0</v>
      </c>
      <c r="I22" s="322" t="str">
        <f t="shared" si="0"/>
        <v/>
      </c>
      <c r="J22" s="278" t="str">
        <f>IF(I22="Monatslohn","CHF"," ")</f>
        <v xml:space="preserve"> </v>
      </c>
      <c r="K22" s="294">
        <f t="shared" ref="K22:P22" si="2">IF(OR($C$16="Stundenlohn",$C$16="Bitte auswählen"),0,IF($C$16="Monatslohn",(IF(OR(MONTH(IF($C$14&lt;$C$21,$C$21,$C$14))&gt;MONTH(K21),MONTH(IF($C$15="",$D$1,$C$15))&lt;MONTH(K21)),0,$M$8))))</f>
        <v>0</v>
      </c>
      <c r="L22" s="294">
        <f t="shared" si="2"/>
        <v>0</v>
      </c>
      <c r="M22" s="294">
        <f t="shared" si="2"/>
        <v>0</v>
      </c>
      <c r="N22" s="294">
        <f t="shared" si="2"/>
        <v>0</v>
      </c>
      <c r="O22" s="294">
        <f t="shared" si="2"/>
        <v>0</v>
      </c>
      <c r="P22" s="295">
        <f t="shared" si="2"/>
        <v>0</v>
      </c>
      <c r="Q22" s="312">
        <f t="shared" ref="Q22:Q37" si="3">ROUND((SUM(C22:H22)+SUM(K22:P22))*20,0)/20</f>
        <v>0</v>
      </c>
      <c r="S22" s="434"/>
      <c r="T22" s="435"/>
      <c r="U22" s="436"/>
      <c r="V22" s="384"/>
      <c r="X22" s="159"/>
      <c r="Y22" s="160"/>
      <c r="Z22" s="59"/>
      <c r="AA22" s="59"/>
      <c r="AB22" s="59"/>
      <c r="AC22" s="59"/>
      <c r="AD22" s="59"/>
      <c r="AE22" s="59"/>
    </row>
    <row r="23" spans="1:37" s="2" customFormat="1" ht="15" customHeight="1" x14ac:dyDescent="0.2">
      <c r="A23" s="321" t="str">
        <f>IF($C$16="Stundenlohn","",(IF($C$17="ja","13. Monatslohn","")))</f>
        <v/>
      </c>
      <c r="B23" s="278" t="str">
        <f>IF(A23="13. Monatslohn","CHF"," ")</f>
        <v xml:space="preserve"> </v>
      </c>
      <c r="C23" s="294">
        <f>IF(OR($C$16="Stundenlohn",$C$16="Bitte auswählen"),0,(IF($C$17="ja",(C$22+C32+C33)/12,"")))</f>
        <v>0</v>
      </c>
      <c r="D23" s="296">
        <f t="shared" ref="D23:H23" si="4">IF(OR($C$16="Stundenlohn",$C$16="Bitte auswählen"),0,(IF($C$17="ja",(D$22+D32+D33)/12,"")))</f>
        <v>0</v>
      </c>
      <c r="E23" s="296">
        <f t="shared" si="4"/>
        <v>0</v>
      </c>
      <c r="F23" s="296">
        <f t="shared" si="4"/>
        <v>0</v>
      </c>
      <c r="G23" s="296">
        <f t="shared" si="4"/>
        <v>0</v>
      </c>
      <c r="H23" s="295">
        <f t="shared" si="4"/>
        <v>0</v>
      </c>
      <c r="I23" s="322" t="str">
        <f t="shared" si="0"/>
        <v/>
      </c>
      <c r="J23" s="278" t="str">
        <f>IF(I23="13. Monatslohn","CHF"," ")</f>
        <v xml:space="preserve"> </v>
      </c>
      <c r="K23" s="296">
        <f t="shared" ref="K23:P23" si="5">IF(OR($C$16="Stundenlohn",$C$16="Bitte auswählen"),0,(IF($C$17="ja",(K$22+K32+K33)/12,"")))</f>
        <v>0</v>
      </c>
      <c r="L23" s="296">
        <f t="shared" si="5"/>
        <v>0</v>
      </c>
      <c r="M23" s="296">
        <f t="shared" si="5"/>
        <v>0</v>
      </c>
      <c r="N23" s="313">
        <f t="shared" si="5"/>
        <v>0</v>
      </c>
      <c r="O23" s="296">
        <f t="shared" si="5"/>
        <v>0</v>
      </c>
      <c r="P23" s="295">
        <f t="shared" si="5"/>
        <v>0</v>
      </c>
      <c r="Q23" s="246">
        <f t="shared" si="3"/>
        <v>0</v>
      </c>
      <c r="S23" s="268"/>
      <c r="U23" s="269"/>
      <c r="Y23" s="58"/>
      <c r="Z23" s="58"/>
      <c r="AA23" s="58"/>
      <c r="AB23" s="58"/>
      <c r="AC23" s="58"/>
      <c r="AD23" s="58"/>
      <c r="AE23" s="58"/>
      <c r="AF23" s="58"/>
    </row>
    <row r="24" spans="1:37" s="2" customFormat="1" ht="15" customHeight="1" x14ac:dyDescent="0.2">
      <c r="A24" s="321" t="str">
        <f>IF(G11="ja","Anz. Std. Bereitschaft","")</f>
        <v/>
      </c>
      <c r="B24" s="340" t="str">
        <f>IF(A24="Anz. Std. Bereitschaft","Std."," ")</f>
        <v xml:space="preserve"> </v>
      </c>
      <c r="C24" s="296"/>
      <c r="D24" s="296"/>
      <c r="E24" s="296"/>
      <c r="F24" s="296"/>
      <c r="G24" s="296"/>
      <c r="H24" s="295"/>
      <c r="I24" s="321" t="str">
        <f t="shared" si="0"/>
        <v/>
      </c>
      <c r="J24" s="340" t="str">
        <f>IF(I24="Anz. Std. Bereitschaft","Std."," ")</f>
        <v xml:space="preserve"> </v>
      </c>
      <c r="K24" s="296"/>
      <c r="L24" s="296"/>
      <c r="M24" s="296"/>
      <c r="N24" s="296"/>
      <c r="O24" s="296"/>
      <c r="P24" s="295"/>
      <c r="Q24" s="314">
        <f t="shared" si="3"/>
        <v>0</v>
      </c>
      <c r="S24" s="434">
        <f>IF(OR(AND(Z6="vereinfacht",'AP 2'!Z6="vereinfacht",'AP 3'!Z6="vereinfacht",'AP 4'!Z6="vereinfacht",'AP 5'!Z6="vereinfacht",'AP 6'!Z6="vereinfacht",'AP 7'!Z6="vereinfacht",'AP 1'!Z6="vereinfacht",'AP 9'!Z6="vereinfacht"),(AND(Z7="ordentlich",'AP 2'!Z7="ordentlich",'AP 3'!Z7="ordentlich",'AP 4'!Z7="ordentlich",'AP 5'!Z7="ordentlich",'AP 6'!Z7="ordentlich",'AP 7'!Z7="ordentlich",'AP 1'!Z7="ordentlich",'AP 9'!Z7="ordentlich"))),0,"ACHTUNG: Sämtliche Assistenzpersonen müssen mit demselben Abrechnungsverfahren abgerechnet werden!")</f>
        <v>0</v>
      </c>
      <c r="T24" s="435"/>
      <c r="U24" s="436"/>
      <c r="V24" s="384"/>
      <c r="Y24" s="58"/>
      <c r="Z24" s="58"/>
      <c r="AA24" s="58"/>
      <c r="AB24" s="58"/>
      <c r="AC24" s="58"/>
      <c r="AD24" s="58"/>
      <c r="AE24" s="58"/>
      <c r="AF24" s="58"/>
    </row>
    <row r="25" spans="1:37" s="6" customFormat="1" ht="15" customHeight="1" x14ac:dyDescent="0.2">
      <c r="A25" s="321" t="str">
        <f>IF(AND(C16="Monatslohn",G12="ja"),"Anzahl Nachteinsätze",IF(P10&gt;0.1,"Anzahl Nachteinsätze",""))</f>
        <v/>
      </c>
      <c r="B25" s="278" t="str">
        <f>IF(A25="Anzahl Nachteinsätze","Anz."," ")</f>
        <v xml:space="preserve"> </v>
      </c>
      <c r="C25" s="297"/>
      <c r="D25" s="297"/>
      <c r="E25" s="297"/>
      <c r="F25" s="297"/>
      <c r="G25" s="297"/>
      <c r="H25" s="298"/>
      <c r="I25" s="321" t="str">
        <f t="shared" si="0"/>
        <v/>
      </c>
      <c r="J25" s="278" t="str">
        <f>IF(I25="Anzahl Nachteinsätze","Anz."," ")</f>
        <v xml:space="preserve"> </v>
      </c>
      <c r="K25" s="297"/>
      <c r="L25" s="297"/>
      <c r="M25" s="297"/>
      <c r="N25" s="297"/>
      <c r="O25" s="297"/>
      <c r="P25" s="315"/>
      <c r="Q25" s="312">
        <f t="shared" si="3"/>
        <v>0</v>
      </c>
      <c r="R25" s="76"/>
      <c r="S25" s="434"/>
      <c r="T25" s="435"/>
      <c r="U25" s="436"/>
      <c r="V25" s="384"/>
      <c r="W25" s="2">
        <f>IF(S24&gt;1,5,0)</f>
        <v>0</v>
      </c>
      <c r="X25" s="102"/>
      <c r="Y25" s="99"/>
      <c r="Z25" s="100"/>
      <c r="AA25" s="77"/>
      <c r="AB25" s="77"/>
      <c r="AC25" s="77"/>
      <c r="AD25" s="77"/>
      <c r="AE25" s="77"/>
      <c r="AF25" s="77"/>
    </row>
    <row r="26" spans="1:37" s="6" customFormat="1" ht="15" customHeight="1" x14ac:dyDescent="0.2">
      <c r="A26" s="322" t="str">
        <f>IF(AND($C$16="Monatslohn",$G$12="ja"),"Anzahl Stunden",IF(C16="Stundenlohn",IF(G10="ja","Anzahl Stunden I","Anzahl Stunden"),""))</f>
        <v/>
      </c>
      <c r="B26" s="279" t="str">
        <f>IF(OR(A26="Anzahl Stunden Standard",A26="Anzahl Stunden",A26="Anzahl Stunden I"),"Std."," ")</f>
        <v xml:space="preserve"> </v>
      </c>
      <c r="C26" s="296"/>
      <c r="D26" s="296"/>
      <c r="E26" s="296"/>
      <c r="F26" s="296"/>
      <c r="G26" s="296"/>
      <c r="H26" s="295"/>
      <c r="I26" s="322" t="str">
        <f t="shared" si="0"/>
        <v/>
      </c>
      <c r="J26" s="279" t="str">
        <f>IF(OR(I26="Anzahl Stunden Standard",I26="Anzahl Stunden",I26="Anzahl Stunden I"),"Std."," ")</f>
        <v xml:space="preserve"> </v>
      </c>
      <c r="K26" s="296"/>
      <c r="L26" s="296"/>
      <c r="M26" s="296"/>
      <c r="N26" s="296"/>
      <c r="O26" s="296"/>
      <c r="P26" s="295"/>
      <c r="Q26" s="314">
        <f t="shared" si="3"/>
        <v>0</v>
      </c>
      <c r="R26" s="76"/>
      <c r="S26" s="434"/>
      <c r="T26" s="435"/>
      <c r="U26" s="436"/>
      <c r="V26" s="384"/>
      <c r="W26" s="76"/>
      <c r="X26" s="102"/>
      <c r="Y26" s="99"/>
      <c r="Z26" s="59"/>
      <c r="AA26" s="77"/>
      <c r="AB26" s="77"/>
      <c r="AC26" s="77"/>
      <c r="AD26" s="77"/>
      <c r="AE26" s="77"/>
      <c r="AF26" s="77"/>
    </row>
    <row r="27" spans="1:37" s="6" customFormat="1" ht="15" customHeight="1" x14ac:dyDescent="0.2">
      <c r="A27" s="322" t="str">
        <f>IF($C$16="Stundenlohn",IF(G10="ja","Stundenlohn I","Stundenlohn"),"")</f>
        <v/>
      </c>
      <c r="B27" s="278" t="str">
        <f>IF(OR(A27="Stundenlohn Standard",A27="Stundenlohn",A27="Stundenlohn I"),"CHF"," ")</f>
        <v xml:space="preserve"> </v>
      </c>
      <c r="C27" s="243" t="str">
        <f>IF($C$16="Stundenlohn",(IF(OR((DATEDIF($F$7,C21,"Y")&lt;20),(DATEDIF($F$7,C21,"Y")&gt;49)),$M$8/110.64%*(C26+C24*$P$7+C25*$P$10),$M$8/108.33%*(C26+C24*$P$7+C25*$P$10))),"")</f>
        <v/>
      </c>
      <c r="D27" s="243" t="str">
        <f t="shared" ref="D27:H27" si="6">IF($C$16="Stundenlohn",(IF(OR((DATEDIF($F$7,D21,"Y")&lt;20),(DATEDIF($F$7,D21,"Y")&gt;49)),$M$8/110.64%*(D26+D24*$P$7+D25*$P$10),$M$8/108.33%*(D26+D24*$P$7+D25*$P$10))),"")</f>
        <v/>
      </c>
      <c r="E27" s="243" t="str">
        <f t="shared" si="6"/>
        <v/>
      </c>
      <c r="F27" s="243" t="str">
        <f t="shared" si="6"/>
        <v/>
      </c>
      <c r="G27" s="243" t="str">
        <f t="shared" si="6"/>
        <v/>
      </c>
      <c r="H27" s="244" t="str">
        <f t="shared" si="6"/>
        <v/>
      </c>
      <c r="I27" s="322" t="str">
        <f t="shared" si="0"/>
        <v/>
      </c>
      <c r="J27" s="278" t="str">
        <f>IF(OR(I27="Stundenlohn Standard",I27="Stundenlohn",I27="Stundenlohn I"),"CHF"," ")</f>
        <v xml:space="preserve"> </v>
      </c>
      <c r="K27" s="243" t="str">
        <f t="shared" ref="K27:P27" si="7">IF($C$16="Stundenlohn",(IF(OR((DATEDIF($F$7,K21,"Y")&lt;20),(DATEDIF($F$7,K21,"Y")&gt;49)),$M$8/110.64%*(K26+K24*$P$7+K25*$P$10),$M$8/108.33%*(K26+K24*$P$7+K25*$P$10))),"")</f>
        <v/>
      </c>
      <c r="L27" s="243" t="str">
        <f t="shared" si="7"/>
        <v/>
      </c>
      <c r="M27" s="243" t="str">
        <f t="shared" si="7"/>
        <v/>
      </c>
      <c r="N27" s="243" t="str">
        <f t="shared" si="7"/>
        <v/>
      </c>
      <c r="O27" s="243" t="str">
        <f t="shared" si="7"/>
        <v/>
      </c>
      <c r="P27" s="244" t="str">
        <f t="shared" si="7"/>
        <v/>
      </c>
      <c r="Q27" s="314">
        <f t="shared" si="3"/>
        <v>0</v>
      </c>
      <c r="R27" s="76"/>
      <c r="S27" s="268"/>
      <c r="T27" s="2"/>
      <c r="U27" s="269"/>
      <c r="V27" s="2"/>
      <c r="W27" s="76"/>
      <c r="X27" s="102"/>
      <c r="Y27" s="99"/>
      <c r="Z27" s="59"/>
      <c r="AA27" s="77"/>
      <c r="AB27" s="77"/>
      <c r="AC27" s="77"/>
      <c r="AD27" s="77"/>
      <c r="AE27" s="77"/>
      <c r="AF27" s="77"/>
    </row>
    <row r="28" spans="1:37" s="2" customFormat="1" ht="15" customHeight="1" x14ac:dyDescent="0.2">
      <c r="A28" s="322" t="str">
        <f>IF(G10="ja","Anzahl Stunden II","")</f>
        <v/>
      </c>
      <c r="B28" s="279" t="str">
        <f>IF(OR(A28="Anzahl Stunden Quali B",A28="Anzahl Stunden II"),"Std."," ")</f>
        <v xml:space="preserve"> </v>
      </c>
      <c r="C28" s="296"/>
      <c r="D28" s="296"/>
      <c r="E28" s="296"/>
      <c r="F28" s="296"/>
      <c r="G28" s="296"/>
      <c r="H28" s="295"/>
      <c r="I28" s="322" t="str">
        <f t="shared" si="0"/>
        <v/>
      </c>
      <c r="J28" s="279" t="str">
        <f>IF(OR(I28="Anzahl Stunden Quali B",I28="Anzahl Stunden II"),"Std."," ")</f>
        <v xml:space="preserve"> </v>
      </c>
      <c r="K28" s="296"/>
      <c r="L28" s="296"/>
      <c r="M28" s="296"/>
      <c r="N28" s="313"/>
      <c r="O28" s="296"/>
      <c r="P28" s="295"/>
      <c r="Q28" s="314">
        <f t="shared" si="3"/>
        <v>0</v>
      </c>
      <c r="R28" s="78"/>
      <c r="S28" s="434">
        <f>IF(AND(AC6="JA",(G12="ja")),"ACHTUNG: Der Lohn von Angehörigen darf beim Assistenzbeitrag der IV nicht abgerechnet werden!",0)</f>
        <v>0</v>
      </c>
      <c r="T28" s="435"/>
      <c r="U28" s="436"/>
      <c r="V28" s="384"/>
      <c r="W28" s="78"/>
      <c r="X28" s="101"/>
      <c r="Y28" s="98"/>
    </row>
    <row r="29" spans="1:37" s="6" customFormat="1" ht="15" customHeight="1" x14ac:dyDescent="0.2">
      <c r="A29" s="322" t="str">
        <f>IF(G10="ja","Stundenlohn II","")</f>
        <v/>
      </c>
      <c r="B29" s="278" t="str">
        <f>IF(OR(A29="Stundenlohn Quali B",A29="Stundenlohn II"),"CHF"," ")</f>
        <v xml:space="preserve"> </v>
      </c>
      <c r="C29" s="243" t="str">
        <f t="shared" ref="C29:H29" si="8">IF($C$16="Stundenlohn",(IF(OR((DATEDIF($F$7,C21,"Y")&lt;20),(DATEDIF($F$7,C21,"Y")&gt;49)),$M$13/110.64%*(C28),$M$13/108.33%*(C28))),"")</f>
        <v/>
      </c>
      <c r="D29" s="243" t="str">
        <f t="shared" si="8"/>
        <v/>
      </c>
      <c r="E29" s="243" t="str">
        <f t="shared" si="8"/>
        <v/>
      </c>
      <c r="F29" s="243" t="str">
        <f t="shared" si="8"/>
        <v/>
      </c>
      <c r="G29" s="243" t="str">
        <f t="shared" si="8"/>
        <v/>
      </c>
      <c r="H29" s="244" t="str">
        <f t="shared" si="8"/>
        <v/>
      </c>
      <c r="I29" s="322" t="str">
        <f t="shared" si="0"/>
        <v/>
      </c>
      <c r="J29" s="278" t="str">
        <f>IF(OR(I29="Stundenlohn Quali B",I29="Stundenlohn II"),"CHF"," ")</f>
        <v xml:space="preserve"> </v>
      </c>
      <c r="K29" s="243" t="str">
        <f t="shared" ref="K29:P29" si="9">IF($C$16="Stundenlohn",(IF(OR((DATEDIF($F$7,K21,"Y")&lt;20),(DATEDIF($F$7,K21,"Y")&gt;49)),$M$13/110.64%*(K28),$M$13/108.33%*(K28))),"")</f>
        <v/>
      </c>
      <c r="L29" s="243" t="str">
        <f t="shared" si="9"/>
        <v/>
      </c>
      <c r="M29" s="243" t="str">
        <f t="shared" si="9"/>
        <v/>
      </c>
      <c r="N29" s="243" t="str">
        <f t="shared" si="9"/>
        <v/>
      </c>
      <c r="O29" s="243" t="str">
        <f t="shared" si="9"/>
        <v/>
      </c>
      <c r="P29" s="244" t="str">
        <f t="shared" si="9"/>
        <v/>
      </c>
      <c r="Q29" s="314">
        <f t="shared" si="3"/>
        <v>0</v>
      </c>
      <c r="R29" s="65"/>
      <c r="S29" s="434"/>
      <c r="T29" s="435"/>
      <c r="U29" s="436"/>
      <c r="V29" s="384"/>
      <c r="W29" s="2">
        <f>IF(S28&gt;1,5,0)</f>
        <v>0</v>
      </c>
      <c r="X29" s="103"/>
      <c r="Y29" s="98"/>
      <c r="Z29" s="59"/>
      <c r="AA29" s="59"/>
      <c r="AB29" s="59"/>
      <c r="AC29" s="59"/>
      <c r="AD29" s="59"/>
      <c r="AE29" s="59"/>
      <c r="AF29" s="59"/>
    </row>
    <row r="30" spans="1:37" s="6" customFormat="1" ht="15" customHeight="1" x14ac:dyDescent="0.2">
      <c r="A30" s="322" t="str">
        <f>IF($C$16="Stundenlohn","Ferienzuschlag","")</f>
        <v/>
      </c>
      <c r="B30" s="278" t="str">
        <f>IF(A30="Ferienzuschlag","CHF"," ")</f>
        <v xml:space="preserve"> </v>
      </c>
      <c r="C30" s="243">
        <f t="shared" ref="C30:H30" si="10">IF($C$16="Stundenlohn",(ROUND(IF(OR((DATEDIF($F$7,C$21,"Y")&lt;20),(DATEDIF($F$7,C$21,"Y")&gt;49)),(C$27+C$29)*10.64%,(C$27+C$29)*8.33%),2)),)</f>
        <v>0</v>
      </c>
      <c r="D30" s="243">
        <f t="shared" si="10"/>
        <v>0</v>
      </c>
      <c r="E30" s="243">
        <f t="shared" si="10"/>
        <v>0</v>
      </c>
      <c r="F30" s="243">
        <f t="shared" si="10"/>
        <v>0</v>
      </c>
      <c r="G30" s="243">
        <f t="shared" si="10"/>
        <v>0</v>
      </c>
      <c r="H30" s="244">
        <f t="shared" si="10"/>
        <v>0</v>
      </c>
      <c r="I30" s="322" t="str">
        <f t="shared" si="0"/>
        <v/>
      </c>
      <c r="J30" s="278" t="str">
        <f>IF(I30="Ferienzuschlag","CHF"," ")</f>
        <v xml:space="preserve"> </v>
      </c>
      <c r="K30" s="243">
        <f t="shared" ref="K30:P30" si="11">IF($C$16="Stundenlohn",(ROUND(IF(OR((DATEDIF($F$7,K$21,"Y")&lt;20),(DATEDIF($F$7,K$21,"Y")&gt;49)),(K$27+K$29)*10.64%,(K$27+K$29)*8.33%),2)),)</f>
        <v>0</v>
      </c>
      <c r="L30" s="243">
        <f t="shared" si="11"/>
        <v>0</v>
      </c>
      <c r="M30" s="243">
        <f t="shared" si="11"/>
        <v>0</v>
      </c>
      <c r="N30" s="243">
        <f t="shared" si="11"/>
        <v>0</v>
      </c>
      <c r="O30" s="243">
        <f t="shared" si="11"/>
        <v>0</v>
      </c>
      <c r="P30" s="244">
        <f t="shared" si="11"/>
        <v>0</v>
      </c>
      <c r="Q30" s="314">
        <f t="shared" si="3"/>
        <v>0</v>
      </c>
      <c r="R30" s="65"/>
      <c r="S30" s="434"/>
      <c r="T30" s="435"/>
      <c r="U30" s="436"/>
      <c r="V30" s="384"/>
      <c r="W30" s="65"/>
      <c r="X30" s="103"/>
      <c r="Y30" s="98"/>
      <c r="Z30" s="59"/>
      <c r="AA30" s="59"/>
      <c r="AB30" s="59"/>
      <c r="AC30" s="59"/>
      <c r="AD30" s="59"/>
      <c r="AE30" s="59"/>
      <c r="AF30" s="59"/>
    </row>
    <row r="31" spans="1:37" s="6" customFormat="1" ht="24" x14ac:dyDescent="0.2">
      <c r="A31" s="323" t="s">
        <v>121</v>
      </c>
      <c r="B31" s="279" t="s">
        <v>122</v>
      </c>
      <c r="C31" s="400"/>
      <c r="D31" s="402"/>
      <c r="E31" s="402"/>
      <c r="F31" s="402"/>
      <c r="G31" s="402"/>
      <c r="H31" s="401"/>
      <c r="I31" s="323" t="str">
        <f t="shared" si="0"/>
        <v>Kost &amp; Logis (Naturallohn)</v>
      </c>
      <c r="J31" s="279" t="s">
        <v>122</v>
      </c>
      <c r="K31" s="400"/>
      <c r="L31" s="400"/>
      <c r="M31" s="400"/>
      <c r="N31" s="400"/>
      <c r="O31" s="400"/>
      <c r="P31" s="401"/>
      <c r="Q31" s="83">
        <f t="shared" si="3"/>
        <v>0</v>
      </c>
      <c r="R31" s="65"/>
      <c r="S31" s="442">
        <f>IF(AND(M7+M12&gt;8,T11=0),"Hinweis: Bei über 8h Arbeitsstunden pro Woche, muss zwingend eine Nichtbetriebsunfall-Versicherung (NBU) abgeschlossen werden!",0)</f>
        <v>0</v>
      </c>
      <c r="T31" s="443"/>
      <c r="U31" s="444"/>
      <c r="V31" s="383"/>
      <c r="W31" s="2"/>
      <c r="X31" s="103"/>
      <c r="Y31" s="98"/>
      <c r="Z31" s="59"/>
      <c r="AA31" s="59"/>
      <c r="AB31" s="59"/>
      <c r="AC31" s="59"/>
      <c r="AD31" s="59"/>
      <c r="AE31" s="59"/>
      <c r="AF31" s="59"/>
    </row>
    <row r="32" spans="1:37" s="6" customFormat="1" ht="24" x14ac:dyDescent="0.2">
      <c r="A32" s="323" t="s">
        <v>123</v>
      </c>
      <c r="B32" s="280" t="s">
        <v>122</v>
      </c>
      <c r="C32" s="400"/>
      <c r="D32" s="402"/>
      <c r="E32" s="402"/>
      <c r="F32" s="402"/>
      <c r="G32" s="402"/>
      <c r="H32" s="403"/>
      <c r="I32" s="323" t="str">
        <f t="shared" si="0"/>
        <v>LFP (AHV-pflichtig) 
gem. OR 324a</v>
      </c>
      <c r="J32" s="280" t="s">
        <v>122</v>
      </c>
      <c r="K32" s="402"/>
      <c r="L32" s="402"/>
      <c r="M32" s="402"/>
      <c r="N32" s="404"/>
      <c r="O32" s="402"/>
      <c r="P32" s="403"/>
      <c r="Q32" s="70">
        <f t="shared" si="3"/>
        <v>0</v>
      </c>
      <c r="R32" s="65"/>
      <c r="S32" s="442"/>
      <c r="T32" s="443"/>
      <c r="U32" s="444"/>
      <c r="V32" s="383"/>
      <c r="W32" s="2">
        <f>IF(S31&gt;1,1,0)</f>
        <v>0</v>
      </c>
      <c r="X32" s="103"/>
      <c r="Y32" s="98"/>
      <c r="Z32" s="59"/>
      <c r="AA32" s="59"/>
      <c r="AB32" s="59"/>
      <c r="AC32" s="59"/>
      <c r="AD32" s="59"/>
      <c r="AE32" s="59"/>
      <c r="AF32" s="59"/>
      <c r="AK32" s="104"/>
    </row>
    <row r="33" spans="1:37" s="6" customFormat="1" ht="24" x14ac:dyDescent="0.2">
      <c r="A33" s="323" t="s">
        <v>124</v>
      </c>
      <c r="B33" s="280" t="s">
        <v>122</v>
      </c>
      <c r="C33" s="400"/>
      <c r="D33" s="402"/>
      <c r="E33" s="402"/>
      <c r="F33" s="402"/>
      <c r="G33" s="402"/>
      <c r="H33" s="403"/>
      <c r="I33" s="323" t="str">
        <f t="shared" si="0"/>
        <v>LFP (AHV-pflichtig)
ausser gem. OR 324a</v>
      </c>
      <c r="J33" s="280" t="s">
        <v>122</v>
      </c>
      <c r="K33" s="402"/>
      <c r="L33" s="402"/>
      <c r="M33" s="402"/>
      <c r="N33" s="404"/>
      <c r="O33" s="402"/>
      <c r="P33" s="403"/>
      <c r="Q33" s="70">
        <f t="shared" si="3"/>
        <v>0</v>
      </c>
      <c r="R33" s="65"/>
      <c r="S33" s="442">
        <f>IF(DATEDIF($F$7,D1,"Y")&lt;17,0,IF(DATEDIF($F$7,C21,"Y")&gt;(IF($C$10="weiblich",63,64)),0,IF(AND(U2&gt;22049.99,SUM(T15:T16)=0),"Hinweis: Bei über CHF 22'050  Jahres-AHV-Bruttolohn, muss die Person zwingend  bei einer Beruflichen Vorsorge (BVG) versichert werden!",0)))</f>
        <v>0</v>
      </c>
      <c r="T33" s="443"/>
      <c r="U33" s="444"/>
      <c r="V33" s="383"/>
      <c r="W33" s="65"/>
      <c r="X33" s="103"/>
      <c r="Y33" s="98"/>
      <c r="Z33" s="59"/>
      <c r="AA33" s="59"/>
      <c r="AB33" s="59"/>
      <c r="AC33" s="59"/>
      <c r="AD33" s="59"/>
      <c r="AE33" s="59"/>
      <c r="AF33" s="59"/>
      <c r="AK33" s="104"/>
    </row>
    <row r="34" spans="1:37" s="6" customFormat="1" ht="24" x14ac:dyDescent="0.2">
      <c r="A34" s="324" t="s">
        <v>125</v>
      </c>
      <c r="B34" s="281" t="s">
        <v>122</v>
      </c>
      <c r="C34" s="400"/>
      <c r="D34" s="402"/>
      <c r="E34" s="402"/>
      <c r="F34" s="402"/>
      <c r="G34" s="402"/>
      <c r="H34" s="403"/>
      <c r="I34" s="324" t="str">
        <f t="shared" si="0"/>
        <v>MSE und EO-Entsch. 
(AHV-pflichtig)</v>
      </c>
      <c r="J34" s="281" t="s">
        <v>122</v>
      </c>
      <c r="K34" s="402"/>
      <c r="L34" s="402"/>
      <c r="M34" s="402"/>
      <c r="N34" s="404"/>
      <c r="O34" s="402"/>
      <c r="P34" s="403"/>
      <c r="Q34" s="70">
        <f t="shared" si="3"/>
        <v>0</v>
      </c>
      <c r="R34" s="57"/>
      <c r="S34" s="442"/>
      <c r="T34" s="443"/>
      <c r="U34" s="444"/>
      <c r="V34" s="383"/>
      <c r="W34" s="2">
        <f>IF(S33&gt;1,1,0)</f>
        <v>0</v>
      </c>
      <c r="X34" s="101"/>
      <c r="Y34" s="110">
        <f t="shared" ref="Y34:AD34" si="12">C21</f>
        <v>45292</v>
      </c>
      <c r="Z34" s="110">
        <f t="shared" si="12"/>
        <v>45323</v>
      </c>
      <c r="AA34" s="110">
        <f t="shared" si="12"/>
        <v>45352</v>
      </c>
      <c r="AB34" s="110">
        <f t="shared" si="12"/>
        <v>45383</v>
      </c>
      <c r="AC34" s="110">
        <f t="shared" si="12"/>
        <v>45413</v>
      </c>
      <c r="AD34" s="110">
        <f t="shared" si="12"/>
        <v>45444</v>
      </c>
      <c r="AE34" s="110">
        <f t="shared" ref="AE34:AJ34" si="13">K21</f>
        <v>45474</v>
      </c>
      <c r="AF34" s="110">
        <f t="shared" si="13"/>
        <v>45505</v>
      </c>
      <c r="AG34" s="110">
        <f t="shared" si="13"/>
        <v>45536</v>
      </c>
      <c r="AH34" s="110">
        <f t="shared" si="13"/>
        <v>45566</v>
      </c>
      <c r="AI34" s="110">
        <f t="shared" si="13"/>
        <v>45597</v>
      </c>
      <c r="AJ34" s="110">
        <f t="shared" si="13"/>
        <v>45627</v>
      </c>
    </row>
    <row r="35" spans="1:37" s="2" customFormat="1" ht="24" x14ac:dyDescent="0.2">
      <c r="A35" s="324" t="s">
        <v>126</v>
      </c>
      <c r="B35" s="281" t="s">
        <v>122</v>
      </c>
      <c r="C35" s="400"/>
      <c r="D35" s="402"/>
      <c r="E35" s="402"/>
      <c r="F35" s="402"/>
      <c r="G35" s="402"/>
      <c r="H35" s="403"/>
      <c r="I35" s="324" t="str">
        <f t="shared" si="0"/>
        <v>Vers.- entschädigung
(nicht AHV-pflichtig)</v>
      </c>
      <c r="J35" s="281" t="s">
        <v>122</v>
      </c>
      <c r="K35" s="402"/>
      <c r="L35" s="402"/>
      <c r="M35" s="402"/>
      <c r="N35" s="404"/>
      <c r="O35" s="402"/>
      <c r="P35" s="403"/>
      <c r="Q35" s="70">
        <f t="shared" si="3"/>
        <v>0</v>
      </c>
      <c r="R35" s="57"/>
      <c r="S35" s="442"/>
      <c r="T35" s="443"/>
      <c r="U35" s="444"/>
      <c r="V35" s="383"/>
      <c r="W35" s="57"/>
      <c r="X35" s="101" t="s">
        <v>127</v>
      </c>
      <c r="Y35" s="106">
        <f t="shared" ref="Y35:AD35" si="14">IF(OR(MONTH(IF($C$14&lt;$C$21,$C$21,$C$14))&gt;MONTH(C21),MONTH(IF($C$15="",$D$1,$C$15))&lt;MONTH(C21)),0,IF(DATEDIF($F$7,C21,"Y")&gt;(IF($C$10="weiblich",63,64)),1400,0))</f>
        <v>1400</v>
      </c>
      <c r="Z35" s="106">
        <f t="shared" si="14"/>
        <v>1400</v>
      </c>
      <c r="AA35" s="106">
        <f t="shared" si="14"/>
        <v>1400</v>
      </c>
      <c r="AB35" s="106">
        <f t="shared" si="14"/>
        <v>1400</v>
      </c>
      <c r="AC35" s="106">
        <f t="shared" si="14"/>
        <v>1400</v>
      </c>
      <c r="AD35" s="106">
        <f t="shared" si="14"/>
        <v>1400</v>
      </c>
      <c r="AE35" s="106">
        <f t="shared" ref="AE35:AJ35" si="15">IF(OR(MONTH(IF($C$14&lt;$C$21,$C$21,$C$14))&gt;MONTH(K21),MONTH(IF($C$15="",$D$1,$C$15))&lt;MONTH(K21)),0,IF(DATEDIF($F$7,K21,"Y")&gt;(IF($C$10="weiblich",63,64)),1400,0))</f>
        <v>1400</v>
      </c>
      <c r="AF35" s="106">
        <f t="shared" si="15"/>
        <v>1400</v>
      </c>
      <c r="AG35" s="106">
        <f t="shared" si="15"/>
        <v>1400</v>
      </c>
      <c r="AH35" s="106">
        <f t="shared" si="15"/>
        <v>1400</v>
      </c>
      <c r="AI35" s="106">
        <f t="shared" si="15"/>
        <v>1400</v>
      </c>
      <c r="AJ35" s="106">
        <f t="shared" si="15"/>
        <v>1400</v>
      </c>
    </row>
    <row r="36" spans="1:37" s="2" customFormat="1" ht="15" customHeight="1" x14ac:dyDescent="0.2">
      <c r="A36" s="322" t="s">
        <v>128</v>
      </c>
      <c r="B36" s="279" t="s">
        <v>122</v>
      </c>
      <c r="C36" s="400"/>
      <c r="D36" s="402"/>
      <c r="E36" s="402"/>
      <c r="F36" s="402"/>
      <c r="G36" s="402"/>
      <c r="H36" s="403"/>
      <c r="I36" s="322" t="str">
        <f t="shared" si="0"/>
        <v>Familienzulagen</v>
      </c>
      <c r="J36" s="279" t="s">
        <v>122</v>
      </c>
      <c r="K36" s="402"/>
      <c r="L36" s="402"/>
      <c r="M36" s="402"/>
      <c r="N36" s="404"/>
      <c r="O36" s="402"/>
      <c r="P36" s="403"/>
      <c r="Q36" s="70">
        <f t="shared" si="3"/>
        <v>0</v>
      </c>
      <c r="R36" s="57"/>
      <c r="S36" s="442">
        <f>IF(M8="",0,IF($C$16="Stundenlohn",(IF(AC6="nein",IF(AND(AC6="nein",AD7="ja"),0,"ACHTUNG: Für Nicht-Angehörige wird ein Stundenlohn von mind. CHF 21.60 bis max. CHF 56.50 vom Berner Modell anerkannt."),IF(AND(AC6="ja",AD6="ja"),0,"ACHTUNG: Für Angehörige wird ein Stundenlohn von CHF 21.60 vom Berner Modell anerkannt."))),(IF(AC6="nein",IF(AND(AC6="nein",AD7="ja"),(IF(AD8="ja","ACHTUNG: Für Nicht-Angehörige wird ein Monatslohn von max. CHF 9'500 + 13. Monatslohn oder CHF 10'290 ohne 13. Monatslohn vom Berner Modell anerkannt bei Pensum 100% - Pensum überprüfen",0)),"ACHTUNG: Für Nicht-Angehörige wird ein Monatslohn von mind. CHF 3'630 + 13. Monatslohn oder CHF 3'930 ohne 13. Monatslohn vom Berner Modell anerkannt bei Pensum 100% - Pensum überprüfen!"),IF(AND(AC6="ja",AD6="ja"),0,"ACHTUNG: Für Angehörige wird ein Monatslohn von CHF 3'630 + 13. Monatslohn oder CHF 3'930 ohne 13. Monatslohn vom Berner Modell anerkannt bei Pensum 100% - Pensum überprüfen!")))))</f>
        <v>0</v>
      </c>
      <c r="T36" s="443"/>
      <c r="U36" s="444"/>
      <c r="V36" s="383"/>
      <c r="W36" s="57"/>
      <c r="X36" s="105" t="s">
        <v>129</v>
      </c>
      <c r="Y36" s="107">
        <f>Y35</f>
        <v>1400</v>
      </c>
      <c r="Z36" s="107">
        <f>Y36+Z35</f>
        <v>2800</v>
      </c>
      <c r="AA36" s="107">
        <f t="shared" ref="AA36:AJ36" si="16">Z36+AA35</f>
        <v>4200</v>
      </c>
      <c r="AB36" s="107">
        <f t="shared" si="16"/>
        <v>5600</v>
      </c>
      <c r="AC36" s="107">
        <f>AB36+AC35</f>
        <v>7000</v>
      </c>
      <c r="AD36" s="107">
        <f>AC36+AD35</f>
        <v>8400</v>
      </c>
      <c r="AE36" s="107">
        <f t="shared" si="16"/>
        <v>9800</v>
      </c>
      <c r="AF36" s="107">
        <f t="shared" si="16"/>
        <v>11200</v>
      </c>
      <c r="AG36" s="107">
        <f t="shared" si="16"/>
        <v>12600</v>
      </c>
      <c r="AH36" s="107">
        <f t="shared" si="16"/>
        <v>14000</v>
      </c>
      <c r="AI36" s="107">
        <f t="shared" si="16"/>
        <v>15400</v>
      </c>
      <c r="AJ36" s="107">
        <f t="shared" si="16"/>
        <v>16800</v>
      </c>
    </row>
    <row r="37" spans="1:37" s="2" customFormat="1" ht="15" customHeight="1" x14ac:dyDescent="0.2">
      <c r="A37" s="325" t="s">
        <v>72</v>
      </c>
      <c r="B37" s="282" t="s">
        <v>122</v>
      </c>
      <c r="C37" s="299">
        <f t="shared" ref="C37:H37" si="17">IF($C$16="Stundenlohn",SUM(C27,C29,C30,C31,C32,C33,C34,C35,C36),SUM(C22,C23,C30,C31,C32,C33,C34,C35,C36))</f>
        <v>0</v>
      </c>
      <c r="D37" s="299">
        <f t="shared" si="17"/>
        <v>0</v>
      </c>
      <c r="E37" s="299">
        <f t="shared" si="17"/>
        <v>0</v>
      </c>
      <c r="F37" s="299">
        <f t="shared" si="17"/>
        <v>0</v>
      </c>
      <c r="G37" s="299">
        <f t="shared" si="17"/>
        <v>0</v>
      </c>
      <c r="H37" s="248">
        <f t="shared" si="17"/>
        <v>0</v>
      </c>
      <c r="I37" s="325" t="str">
        <f t="shared" si="0"/>
        <v>Bruttolohn</v>
      </c>
      <c r="J37" s="282" t="s">
        <v>122</v>
      </c>
      <c r="K37" s="299">
        <f t="shared" ref="K37:P37" si="18">IF($C$16="Stundenlohn",SUM(K27,K29,K30,K31,K32,K33,K34,K35,K36),SUM(K22,K23,K30,K31,K32,K33,K34,K35,K36))</f>
        <v>0</v>
      </c>
      <c r="L37" s="299">
        <f t="shared" si="18"/>
        <v>0</v>
      </c>
      <c r="M37" s="299">
        <f t="shared" si="18"/>
        <v>0</v>
      </c>
      <c r="N37" s="316">
        <f t="shared" si="18"/>
        <v>0</v>
      </c>
      <c r="O37" s="299">
        <f t="shared" si="18"/>
        <v>0</v>
      </c>
      <c r="P37" s="248">
        <f t="shared" si="18"/>
        <v>0</v>
      </c>
      <c r="Q37" s="248">
        <f t="shared" si="3"/>
        <v>0</v>
      </c>
      <c r="R37" s="57"/>
      <c r="S37" s="442"/>
      <c r="T37" s="443"/>
      <c r="U37" s="444"/>
      <c r="V37" s="383"/>
      <c r="W37" s="2">
        <f>IF(S36&gt;1,5,0)</f>
        <v>0</v>
      </c>
      <c r="X37" s="101" t="s">
        <v>130</v>
      </c>
      <c r="Y37" s="171">
        <f t="shared" ref="Y37:AD37" si="19">IF(Y35=0,0,IF($C$16="Stundenlohn",SUM(C27,C29,C30,C31,C32,C33,C34),SUM(C22,C23,C30,C31,C32,C33,C34)))</f>
        <v>0</v>
      </c>
      <c r="Z37" s="171">
        <f t="shared" si="19"/>
        <v>0</v>
      </c>
      <c r="AA37" s="171">
        <f t="shared" si="19"/>
        <v>0</v>
      </c>
      <c r="AB37" s="171">
        <f t="shared" si="19"/>
        <v>0</v>
      </c>
      <c r="AC37" s="171">
        <f t="shared" si="19"/>
        <v>0</v>
      </c>
      <c r="AD37" s="171">
        <f t="shared" si="19"/>
        <v>0</v>
      </c>
      <c r="AE37" s="171">
        <f t="shared" ref="AE37:AJ37" si="20">IF(AE35=0,0,IF($C$16="Stundenlohn",SUM(K27,K29,K30,K31,K32,K33,K34),SUM(K22,K23,K30,K31,K32,K33,K34)))</f>
        <v>0</v>
      </c>
      <c r="AF37" s="171">
        <f t="shared" si="20"/>
        <v>0</v>
      </c>
      <c r="AG37" s="171">
        <f t="shared" si="20"/>
        <v>0</v>
      </c>
      <c r="AH37" s="171">
        <f t="shared" si="20"/>
        <v>0</v>
      </c>
      <c r="AI37" s="171">
        <f t="shared" si="20"/>
        <v>0</v>
      </c>
      <c r="AJ37" s="171">
        <f t="shared" si="20"/>
        <v>0</v>
      </c>
    </row>
    <row r="38" spans="1:37" s="2" customFormat="1" ht="15" customHeight="1" x14ac:dyDescent="0.2">
      <c r="A38" s="322" t="s">
        <v>131</v>
      </c>
      <c r="B38" s="283" t="s">
        <v>122</v>
      </c>
      <c r="C38" s="425">
        <f t="shared" ref="C38:H38" si="21">Y42</f>
        <v>0</v>
      </c>
      <c r="D38" s="425">
        <f t="shared" si="21"/>
        <v>0</v>
      </c>
      <c r="E38" s="425">
        <f t="shared" si="21"/>
        <v>0</v>
      </c>
      <c r="F38" s="425">
        <f t="shared" si="21"/>
        <v>0</v>
      </c>
      <c r="G38" s="425">
        <f t="shared" si="21"/>
        <v>0</v>
      </c>
      <c r="H38" s="426">
        <f t="shared" si="21"/>
        <v>0</v>
      </c>
      <c r="I38" s="322" t="str">
        <f t="shared" si="0"/>
        <v>Freibetrag AHV Rentner</v>
      </c>
      <c r="J38" s="283" t="s">
        <v>122</v>
      </c>
      <c r="K38" s="425">
        <f t="shared" ref="K38:P38" si="22">AE42</f>
        <v>0</v>
      </c>
      <c r="L38" s="425">
        <f t="shared" si="22"/>
        <v>0</v>
      </c>
      <c r="M38" s="425">
        <f t="shared" si="22"/>
        <v>0</v>
      </c>
      <c r="N38" s="425">
        <f t="shared" si="22"/>
        <v>0</v>
      </c>
      <c r="O38" s="425">
        <f t="shared" si="22"/>
        <v>0</v>
      </c>
      <c r="P38" s="427">
        <f t="shared" si="22"/>
        <v>0</v>
      </c>
      <c r="Q38" s="317">
        <f>SUM(C38:H38)+SUM(K38:P38)</f>
        <v>0</v>
      </c>
      <c r="R38" s="57"/>
      <c r="S38" s="442"/>
      <c r="T38" s="443"/>
      <c r="U38" s="444"/>
      <c r="V38" s="383"/>
      <c r="W38" s="57"/>
      <c r="X38" s="2" t="s">
        <v>132</v>
      </c>
      <c r="Y38" s="106">
        <f>Y37</f>
        <v>0</v>
      </c>
      <c r="Z38" s="106">
        <f>Y38+Z37</f>
        <v>0</v>
      </c>
      <c r="AA38" s="106">
        <f t="shared" ref="AA38:AJ38" si="23">Z38+AA37</f>
        <v>0</v>
      </c>
      <c r="AB38" s="106">
        <f t="shared" si="23"/>
        <v>0</v>
      </c>
      <c r="AC38" s="106">
        <f>AB38+AC37</f>
        <v>0</v>
      </c>
      <c r="AD38" s="106">
        <f>AC38+AD37</f>
        <v>0</v>
      </c>
      <c r="AE38" s="106">
        <f t="shared" si="23"/>
        <v>0</v>
      </c>
      <c r="AF38" s="106">
        <f t="shared" si="23"/>
        <v>0</v>
      </c>
      <c r="AG38" s="106">
        <f t="shared" si="23"/>
        <v>0</v>
      </c>
      <c r="AH38" s="106">
        <f t="shared" si="23"/>
        <v>0</v>
      </c>
      <c r="AI38" s="106">
        <f t="shared" si="23"/>
        <v>0</v>
      </c>
      <c r="AJ38" s="106">
        <f t="shared" si="23"/>
        <v>0</v>
      </c>
    </row>
    <row r="39" spans="1:37" s="6" customFormat="1" ht="15" customHeight="1" x14ac:dyDescent="0.2">
      <c r="A39" s="325" t="s">
        <v>133</v>
      </c>
      <c r="B39" s="282" t="s">
        <v>122</v>
      </c>
      <c r="C39" s="299">
        <f t="shared" ref="C39:H39" si="24">C37-C36-C35-C38</f>
        <v>0</v>
      </c>
      <c r="D39" s="299">
        <f t="shared" si="24"/>
        <v>0</v>
      </c>
      <c r="E39" s="299">
        <f t="shared" si="24"/>
        <v>0</v>
      </c>
      <c r="F39" s="299">
        <f t="shared" si="24"/>
        <v>0</v>
      </c>
      <c r="G39" s="299">
        <f t="shared" si="24"/>
        <v>0</v>
      </c>
      <c r="H39" s="248">
        <f t="shared" si="24"/>
        <v>0</v>
      </c>
      <c r="I39" s="325" t="str">
        <f t="shared" si="0"/>
        <v>AHV Bruttolohn</v>
      </c>
      <c r="J39" s="282" t="s">
        <v>122</v>
      </c>
      <c r="K39" s="299">
        <f t="shared" ref="K39:P39" si="25">K37-K36-K35-K38</f>
        <v>0</v>
      </c>
      <c r="L39" s="299">
        <f t="shared" si="25"/>
        <v>0</v>
      </c>
      <c r="M39" s="299">
        <f t="shared" si="25"/>
        <v>0</v>
      </c>
      <c r="N39" s="316">
        <f t="shared" si="25"/>
        <v>0</v>
      </c>
      <c r="O39" s="299">
        <f t="shared" si="25"/>
        <v>0</v>
      </c>
      <c r="P39" s="248">
        <f t="shared" si="25"/>
        <v>0</v>
      </c>
      <c r="Q39" s="248">
        <f>ROUND((SUM(C39:H39)+SUM(K39:P39))*20,0)/20</f>
        <v>0</v>
      </c>
      <c r="R39" s="79"/>
      <c r="S39" s="442"/>
      <c r="T39" s="443"/>
      <c r="U39" s="444"/>
      <c r="V39" s="383"/>
      <c r="W39" s="79"/>
      <c r="X39" s="2"/>
      <c r="Y39" s="106"/>
      <c r="Z39" s="106"/>
      <c r="AA39" s="106"/>
      <c r="AB39" s="106"/>
      <c r="AC39" s="106"/>
      <c r="AD39" s="106"/>
      <c r="AE39" s="64"/>
      <c r="AF39" s="64"/>
    </row>
    <row r="40" spans="1:37" s="2" customFormat="1" ht="15" customHeight="1" thickBot="1" x14ac:dyDescent="0.25">
      <c r="A40" s="322" t="str">
        <f>CONCATENATE("AHV/IV/EO ",T8*100,"%")</f>
        <v>AHV/IV/EO 0%</v>
      </c>
      <c r="B40" s="284" t="s">
        <v>122</v>
      </c>
      <c r="C40" s="240">
        <f t="shared" ref="C40:H40" si="26">C$39*-$T$8</f>
        <v>0</v>
      </c>
      <c r="D40" s="240">
        <f t="shared" si="26"/>
        <v>0</v>
      </c>
      <c r="E40" s="240">
        <f t="shared" si="26"/>
        <v>0</v>
      </c>
      <c r="F40" s="240">
        <f t="shared" si="26"/>
        <v>0</v>
      </c>
      <c r="G40" s="240">
        <f t="shared" si="26"/>
        <v>0</v>
      </c>
      <c r="H40" s="241">
        <f t="shared" si="26"/>
        <v>0</v>
      </c>
      <c r="I40" s="337" t="str">
        <f t="shared" si="0"/>
        <v>AHV/IV/EO 0%</v>
      </c>
      <c r="J40" s="284" t="s">
        <v>122</v>
      </c>
      <c r="K40" s="240">
        <f t="shared" ref="K40:P40" si="27">K$39*-$T$8</f>
        <v>0</v>
      </c>
      <c r="L40" s="240">
        <f t="shared" si="27"/>
        <v>0</v>
      </c>
      <c r="M40" s="240">
        <f t="shared" si="27"/>
        <v>0</v>
      </c>
      <c r="N40" s="242">
        <f t="shared" si="27"/>
        <v>0</v>
      </c>
      <c r="O40" s="240">
        <f t="shared" si="27"/>
        <v>0</v>
      </c>
      <c r="P40" s="241">
        <f t="shared" si="27"/>
        <v>0</v>
      </c>
      <c r="Q40" s="245">
        <f t="shared" ref="Q40:Q48" si="28">ROUND((SUM(C40:H40)+SUM(K40:P40))*20,0)/20</f>
        <v>0</v>
      </c>
      <c r="R40" s="65"/>
      <c r="S40" s="442"/>
      <c r="T40" s="443"/>
      <c r="U40" s="444"/>
      <c r="V40" s="383"/>
      <c r="W40" s="65"/>
      <c r="X40" s="2" t="s">
        <v>134</v>
      </c>
      <c r="Y40" s="108">
        <f>Y36-Y38</f>
        <v>1400</v>
      </c>
      <c r="Z40" s="108">
        <f>Y40+Z35-Z37</f>
        <v>2800</v>
      </c>
      <c r="AA40" s="108">
        <f>Z40+AA35-AA37</f>
        <v>4200</v>
      </c>
      <c r="AB40" s="108">
        <f>AA40+AB35-AB37</f>
        <v>5600</v>
      </c>
      <c r="AC40" s="108">
        <f>AC36-AC38</f>
        <v>7000</v>
      </c>
      <c r="AD40" s="108">
        <f>AD36-AD38</f>
        <v>8400</v>
      </c>
      <c r="AE40" s="108">
        <f t="shared" ref="AE40:AJ40" si="29">AE36-AE38</f>
        <v>9800</v>
      </c>
      <c r="AF40" s="108">
        <f t="shared" si="29"/>
        <v>11200</v>
      </c>
      <c r="AG40" s="108">
        <f t="shared" si="29"/>
        <v>12600</v>
      </c>
      <c r="AH40" s="108">
        <f t="shared" si="29"/>
        <v>14000</v>
      </c>
      <c r="AI40" s="108">
        <f t="shared" si="29"/>
        <v>15400</v>
      </c>
      <c r="AJ40" s="108">
        <f t="shared" si="29"/>
        <v>16800</v>
      </c>
    </row>
    <row r="41" spans="1:37" s="6" customFormat="1" ht="15" customHeight="1" x14ac:dyDescent="0.2">
      <c r="A41" s="322" t="str">
        <f>CONCATENATE("ALV ",T9*100,"%")</f>
        <v>ALV 0%</v>
      </c>
      <c r="B41" s="279" t="s">
        <v>122</v>
      </c>
      <c r="C41" s="243">
        <f t="shared" ref="C41:H41" si="30">C$39*(IF(DATEDIF($F$7,$D$1,"Y")&lt;18,0,IF(DATEDIF($F$7,C21,"Y")&gt;(IF($C$10="weiblich",63,64)),0,-1.1%)))</f>
        <v>0</v>
      </c>
      <c r="D41" s="243">
        <f t="shared" si="30"/>
        <v>0</v>
      </c>
      <c r="E41" s="243">
        <f>E$39*(IF(DATEDIF($F$7,$D$1,"Y")&lt;18,0,IF(DATEDIF($F$7,E21,"Y")&gt;(IF($C$10="weiblich",63,64)),0,-1.1%)))</f>
        <v>0</v>
      </c>
      <c r="F41" s="243">
        <f t="shared" si="30"/>
        <v>0</v>
      </c>
      <c r="G41" s="243">
        <f t="shared" si="30"/>
        <v>0</v>
      </c>
      <c r="H41" s="244">
        <f t="shared" si="30"/>
        <v>0</v>
      </c>
      <c r="I41" s="337" t="str">
        <f t="shared" si="0"/>
        <v>ALV 0%</v>
      </c>
      <c r="J41" s="279" t="s">
        <v>122</v>
      </c>
      <c r="K41" s="243">
        <f t="shared" ref="K41:P41" si="31">K$39*(IF(DATEDIF($F$7,$D$1,"Y")&lt;18,0,IF(DATEDIF($F$7,K21,"Y")&gt;(IF($C$10="weiblich",63,64)),0,-1.1%)))</f>
        <v>0</v>
      </c>
      <c r="L41" s="243">
        <f t="shared" si="31"/>
        <v>0</v>
      </c>
      <c r="M41" s="243">
        <f t="shared" si="31"/>
        <v>0</v>
      </c>
      <c r="N41" s="242">
        <f t="shared" si="31"/>
        <v>0</v>
      </c>
      <c r="O41" s="243">
        <f t="shared" si="31"/>
        <v>0</v>
      </c>
      <c r="P41" s="244">
        <f t="shared" si="31"/>
        <v>0</v>
      </c>
      <c r="Q41" s="246">
        <f t="shared" si="28"/>
        <v>0</v>
      </c>
      <c r="R41" s="79"/>
      <c r="S41" s="440"/>
      <c r="T41" s="440"/>
      <c r="U41" s="440"/>
      <c r="V41" s="65"/>
      <c r="X41" s="2"/>
      <c r="Y41" s="108"/>
      <c r="Z41" s="108"/>
      <c r="AA41" s="108"/>
      <c r="AB41" s="108"/>
      <c r="AC41" s="108"/>
      <c r="AD41" s="108"/>
      <c r="AE41" s="108"/>
      <c r="AF41" s="108"/>
      <c r="AG41" s="108"/>
      <c r="AH41" s="108"/>
      <c r="AI41" s="108"/>
      <c r="AJ41" s="108"/>
    </row>
    <row r="42" spans="1:37" s="2" customFormat="1" ht="15" customHeight="1" x14ac:dyDescent="0.2">
      <c r="A42" s="322" t="str">
        <f>IF(T11&lt;0.01,"NBU",(CONCATENATE("NBU ",T11*100,"%")))</f>
        <v>NBU</v>
      </c>
      <c r="B42" s="279" t="s">
        <v>122</v>
      </c>
      <c r="C42" s="400">
        <f t="shared" ref="C42:H42" si="32">(C$37-C$34-C$35-C$36)*-$T$11</f>
        <v>0</v>
      </c>
      <c r="D42" s="400">
        <f t="shared" si="32"/>
        <v>0</v>
      </c>
      <c r="E42" s="400">
        <f t="shared" si="32"/>
        <v>0</v>
      </c>
      <c r="F42" s="400">
        <f t="shared" si="32"/>
        <v>0</v>
      </c>
      <c r="G42" s="400">
        <f t="shared" si="32"/>
        <v>0</v>
      </c>
      <c r="H42" s="401">
        <f t="shared" si="32"/>
        <v>0</v>
      </c>
      <c r="I42" s="337" t="str">
        <f t="shared" si="0"/>
        <v>NBU</v>
      </c>
      <c r="J42" s="279" t="s">
        <v>122</v>
      </c>
      <c r="K42" s="400">
        <f t="shared" ref="K42:P42" si="33">(K$37-K$34-K$35-K$36)*-$T$11</f>
        <v>0</v>
      </c>
      <c r="L42" s="400">
        <f t="shared" si="33"/>
        <v>0</v>
      </c>
      <c r="M42" s="400">
        <f t="shared" si="33"/>
        <v>0</v>
      </c>
      <c r="N42" s="404">
        <f t="shared" si="33"/>
        <v>0</v>
      </c>
      <c r="O42" s="400">
        <f t="shared" si="33"/>
        <v>0</v>
      </c>
      <c r="P42" s="401">
        <f t="shared" si="33"/>
        <v>0</v>
      </c>
      <c r="Q42" s="246">
        <f t="shared" si="28"/>
        <v>0</v>
      </c>
      <c r="R42" s="65"/>
      <c r="S42" s="441"/>
      <c r="T42" s="441"/>
      <c r="U42" s="441"/>
      <c r="V42" s="79"/>
      <c r="W42" s="2">
        <f>IF(S41&gt;1,1,0)</f>
        <v>0</v>
      </c>
      <c r="X42" s="2" t="s">
        <v>135</v>
      </c>
      <c r="Y42" s="108">
        <f>IF(Y40&gt;0,Y37,Y35)</f>
        <v>0</v>
      </c>
      <c r="Z42" s="108">
        <f t="shared" ref="Z42:AJ42" si="34">IF(Z40&gt;0,Z37-IF(Y40&lt;0,Y40,0),Z35+IF(Y40&lt;0,0,Y40))</f>
        <v>0</v>
      </c>
      <c r="AA42" s="108">
        <f t="shared" si="34"/>
        <v>0</v>
      </c>
      <c r="AB42" s="108">
        <f t="shared" si="34"/>
        <v>0</v>
      </c>
      <c r="AC42" s="108">
        <f t="shared" si="34"/>
        <v>0</v>
      </c>
      <c r="AD42" s="108">
        <f t="shared" si="34"/>
        <v>0</v>
      </c>
      <c r="AE42" s="108">
        <f t="shared" si="34"/>
        <v>0</v>
      </c>
      <c r="AF42" s="108">
        <f t="shared" si="34"/>
        <v>0</v>
      </c>
      <c r="AG42" s="108">
        <f t="shared" si="34"/>
        <v>0</v>
      </c>
      <c r="AH42" s="108">
        <f>IF(AH40&gt;0,AH37-IF(AG40&lt;0,AG40,0),AH35+IF(AG40&lt;0,0,AG40))</f>
        <v>0</v>
      </c>
      <c r="AI42" s="108">
        <f t="shared" si="34"/>
        <v>0</v>
      </c>
      <c r="AJ42" s="108">
        <f t="shared" si="34"/>
        <v>0</v>
      </c>
    </row>
    <row r="43" spans="1:37" s="2" customFormat="1" ht="15" customHeight="1" x14ac:dyDescent="0.2">
      <c r="A43" s="322" t="str">
        <f>IF(T13&lt;0.0000001,"KTG",(CONCATENATE("KTG ",T13*100,"%")))</f>
        <v>KTG</v>
      </c>
      <c r="B43" s="279" t="s">
        <v>122</v>
      </c>
      <c r="C43" s="400">
        <f t="shared" ref="C43:H43" si="35">(C$37-C$34-C$35-C$36)*-$T$13</f>
        <v>0</v>
      </c>
      <c r="D43" s="400">
        <f t="shared" si="35"/>
        <v>0</v>
      </c>
      <c r="E43" s="400">
        <f t="shared" si="35"/>
        <v>0</v>
      </c>
      <c r="F43" s="400">
        <f t="shared" si="35"/>
        <v>0</v>
      </c>
      <c r="G43" s="400">
        <f t="shared" si="35"/>
        <v>0</v>
      </c>
      <c r="H43" s="401">
        <f t="shared" si="35"/>
        <v>0</v>
      </c>
      <c r="I43" s="337" t="str">
        <f t="shared" si="0"/>
        <v>KTG</v>
      </c>
      <c r="J43" s="279" t="s">
        <v>122</v>
      </c>
      <c r="K43" s="400">
        <f t="shared" ref="K43:P43" si="36">(K$37-K$34-K$35-K$36)*-$T$13</f>
        <v>0</v>
      </c>
      <c r="L43" s="400">
        <f t="shared" si="36"/>
        <v>0</v>
      </c>
      <c r="M43" s="400">
        <f t="shared" si="36"/>
        <v>0</v>
      </c>
      <c r="N43" s="404">
        <f t="shared" si="36"/>
        <v>0</v>
      </c>
      <c r="O43" s="400">
        <f t="shared" si="36"/>
        <v>0</v>
      </c>
      <c r="P43" s="401">
        <f t="shared" si="36"/>
        <v>0</v>
      </c>
      <c r="Q43" s="246">
        <f t="shared" si="28"/>
        <v>0</v>
      </c>
      <c r="R43" s="65"/>
      <c r="S43" s="441"/>
      <c r="T43" s="441"/>
      <c r="U43" s="441"/>
      <c r="V43" s="65"/>
      <c r="W43" s="65"/>
      <c r="X43" s="101" t="s">
        <v>136</v>
      </c>
      <c r="Y43" s="109">
        <f t="shared" ref="Y43:AD43" si="37">IF(C38&lt;1,C39,0)</f>
        <v>0</v>
      </c>
      <c r="Z43" s="109">
        <f t="shared" si="37"/>
        <v>0</v>
      </c>
      <c r="AA43" s="109">
        <f t="shared" si="37"/>
        <v>0</v>
      </c>
      <c r="AB43" s="109">
        <f t="shared" si="37"/>
        <v>0</v>
      </c>
      <c r="AC43" s="109">
        <f t="shared" si="37"/>
        <v>0</v>
      </c>
      <c r="AD43" s="109">
        <f t="shared" si="37"/>
        <v>0</v>
      </c>
      <c r="AE43" s="109">
        <f t="shared" ref="AE43:AJ43" si="38">IF(K38&lt;1,K39,0)</f>
        <v>0</v>
      </c>
      <c r="AF43" s="109">
        <f t="shared" si="38"/>
        <v>0</v>
      </c>
      <c r="AG43" s="109">
        <f t="shared" si="38"/>
        <v>0</v>
      </c>
      <c r="AH43" s="109">
        <f t="shared" si="38"/>
        <v>0</v>
      </c>
      <c r="AI43" s="109">
        <f t="shared" si="38"/>
        <v>0</v>
      </c>
      <c r="AJ43" s="109">
        <f t="shared" si="38"/>
        <v>0</v>
      </c>
      <c r="AK43" s="251">
        <f>MROUND(SUM(Y43:AJ43),0.05)</f>
        <v>0</v>
      </c>
    </row>
    <row r="44" spans="1:37" s="2" customFormat="1" ht="15" customHeight="1" x14ac:dyDescent="0.2">
      <c r="A44" s="322" t="str">
        <f>IF(T16&gt;0.01%,(CONCATENATE("BVG ",T16*100,"%")),IF(T15&lt;0.01,"BVG",(CONCATENATE("BVG ","CHF ",T15))))</f>
        <v>BVG</v>
      </c>
      <c r="B44" s="279" t="s">
        <v>122</v>
      </c>
      <c r="C44" s="400">
        <f t="shared" ref="C44:H44" si="39">IF(C39&lt;1,0,(IF(DATEDIF($F$7,$D$1,"Y")&lt;19,0,(IF(DATEDIF($F$7,C21,"Y")&gt;(IF($C$10="weiblich",63,64)),0,IF($T$16&gt;0.1%,-$T$16*C39,-$T$15))))))</f>
        <v>0</v>
      </c>
      <c r="D44" s="400">
        <f t="shared" si="39"/>
        <v>0</v>
      </c>
      <c r="E44" s="400">
        <f t="shared" si="39"/>
        <v>0</v>
      </c>
      <c r="F44" s="400">
        <f t="shared" si="39"/>
        <v>0</v>
      </c>
      <c r="G44" s="400">
        <f t="shared" si="39"/>
        <v>0</v>
      </c>
      <c r="H44" s="401">
        <f t="shared" si="39"/>
        <v>0</v>
      </c>
      <c r="I44" s="337" t="str">
        <f t="shared" si="0"/>
        <v>BVG</v>
      </c>
      <c r="J44" s="279" t="s">
        <v>122</v>
      </c>
      <c r="K44" s="400">
        <f t="shared" ref="K44:P44" si="40">IF(K39&lt;1,0,(IF(DATEDIF($F$7,$D$1,"Y")&lt;19,0,(IF(DATEDIF($F$7,K21,"Y")&gt;(IF($C$10="weiblich",63,64)),0,IF($T$16&gt;0.1%,-$T$16*K39,-$T$15))))))</f>
        <v>0</v>
      </c>
      <c r="L44" s="400">
        <f t="shared" si="40"/>
        <v>0</v>
      </c>
      <c r="M44" s="400">
        <f t="shared" si="40"/>
        <v>0</v>
      </c>
      <c r="N44" s="404">
        <f t="shared" si="40"/>
        <v>0</v>
      </c>
      <c r="O44" s="400">
        <f t="shared" si="40"/>
        <v>0</v>
      </c>
      <c r="P44" s="401">
        <f t="shared" si="40"/>
        <v>0</v>
      </c>
      <c r="Q44" s="246">
        <f t="shared" si="28"/>
        <v>0</v>
      </c>
      <c r="R44" s="65"/>
      <c r="S44" s="65"/>
      <c r="T44" s="65"/>
      <c r="U44" s="65"/>
      <c r="V44" s="65"/>
      <c r="W44" s="101"/>
      <c r="X44" s="59"/>
      <c r="Y44" s="59"/>
      <c r="Z44" s="59"/>
      <c r="AA44" s="59"/>
      <c r="AB44" s="59"/>
      <c r="AC44" s="59"/>
      <c r="AD44" s="59"/>
      <c r="AE44" s="59"/>
    </row>
    <row r="45" spans="1:37" s="2" customFormat="1" ht="15" customHeight="1" x14ac:dyDescent="0.2">
      <c r="A45" s="322" t="str">
        <f>IF(G13="Bitte auswählen","",IF(OR(Y9&lt;5%,G13="ordentlich",)," ",(CONCATENATE("QST gem. BGSA ",Y9*100,"%"))))</f>
        <v/>
      </c>
      <c r="B45" s="278" t="str">
        <f>IF(A45="QST gem. BGSA 5%","CHF"," ")</f>
        <v xml:space="preserve"> </v>
      </c>
      <c r="C45" s="400">
        <f>IF(C39+C38=0,0,IF(DATEDIF($F$7,C21,"Y")&lt;(IF($C$10="weiblich",64,65)),C39*-$Y$9,IF(AND(C38&gt;1),(C39+C38)*-$Y$9,C39*-$Y$9)))</f>
        <v>0</v>
      </c>
      <c r="D45" s="400">
        <f t="shared" ref="D45:H45" si="41">IF(D39+D38=0,0,IF(DATEDIF($F$7,D21,"Y")&lt;(IF($C$10="weiblich",64,65)),D39*-$Y$9,IF(AND(D38&gt;1),(D39+D38)*-$Y$9,D39*-$Y$9)))</f>
        <v>0</v>
      </c>
      <c r="E45" s="400">
        <f t="shared" si="41"/>
        <v>0</v>
      </c>
      <c r="F45" s="400">
        <f t="shared" si="41"/>
        <v>0</v>
      </c>
      <c r="G45" s="400">
        <f t="shared" si="41"/>
        <v>0</v>
      </c>
      <c r="H45" s="400">
        <f t="shared" si="41"/>
        <v>0</v>
      </c>
      <c r="I45" s="322" t="str">
        <f t="shared" si="0"/>
        <v/>
      </c>
      <c r="J45" s="278" t="str">
        <f>IF(I45="QST gem. BGSA 5%","CHF"," ")</f>
        <v xml:space="preserve"> </v>
      </c>
      <c r="K45" s="400">
        <f t="shared" ref="K45:P45" si="42">IF(K39+K38=0,0,IF(DATEDIF($F$7,K21,"Y")&lt;(IF($C$10="weiblich",64,65)),K39*-$Y$9,IF(AND(K38&gt;1),(K39+K38)*-$Y$9,K39*-$Y$9)))</f>
        <v>0</v>
      </c>
      <c r="L45" s="400">
        <f t="shared" si="42"/>
        <v>0</v>
      </c>
      <c r="M45" s="400">
        <f t="shared" si="42"/>
        <v>0</v>
      </c>
      <c r="N45" s="400">
        <f t="shared" si="42"/>
        <v>0</v>
      </c>
      <c r="O45" s="400">
        <f t="shared" si="42"/>
        <v>0</v>
      </c>
      <c r="P45" s="401">
        <f t="shared" si="42"/>
        <v>0</v>
      </c>
      <c r="Q45" s="314">
        <f>ROUND((SUM(C45:H45)+SUM(K45:P45))*20,0)/20</f>
        <v>0</v>
      </c>
      <c r="R45" s="65"/>
      <c r="S45" s="65"/>
      <c r="T45" s="65"/>
      <c r="U45" s="65"/>
      <c r="V45" s="65"/>
      <c r="W45" s="79">
        <f>SUM(W21:W43)</f>
        <v>0</v>
      </c>
      <c r="X45" s="58"/>
      <c r="Y45" s="59"/>
      <c r="Z45" s="59"/>
      <c r="AA45" s="59"/>
      <c r="AB45" s="59"/>
      <c r="AC45" s="59"/>
      <c r="AD45" s="59"/>
      <c r="AE45" s="59"/>
    </row>
    <row r="46" spans="1:37" s="2" customFormat="1" ht="15" customHeight="1" x14ac:dyDescent="0.2">
      <c r="A46" s="322" t="str">
        <f>IF(G13="ordentlich","QST","")</f>
        <v/>
      </c>
      <c r="B46" s="278" t="str">
        <f>IF(A46="QST","CHF"," ")</f>
        <v xml:space="preserve"> </v>
      </c>
      <c r="C46" s="400"/>
      <c r="D46" s="400"/>
      <c r="E46" s="400"/>
      <c r="F46" s="400"/>
      <c r="G46" s="400"/>
      <c r="H46" s="403"/>
      <c r="I46" s="337" t="str">
        <f t="shared" si="0"/>
        <v/>
      </c>
      <c r="J46" s="278" t="str">
        <f>IF(I46="QST","CHF"," ")</f>
        <v xml:space="preserve"> </v>
      </c>
      <c r="K46" s="402"/>
      <c r="L46" s="402"/>
      <c r="M46" s="402"/>
      <c r="N46" s="404"/>
      <c r="O46" s="402"/>
      <c r="P46" s="403"/>
      <c r="Q46" s="70">
        <f t="shared" si="28"/>
        <v>0</v>
      </c>
      <c r="R46" s="65"/>
      <c r="S46" s="65"/>
      <c r="T46" s="65"/>
      <c r="U46" s="65"/>
      <c r="V46" s="65"/>
      <c r="W46" s="101"/>
      <c r="X46" s="59"/>
      <c r="Y46" s="59"/>
      <c r="Z46" s="59"/>
      <c r="AA46" s="59"/>
      <c r="AB46" s="59"/>
      <c r="AC46" s="59"/>
      <c r="AD46" s="59"/>
      <c r="AE46" s="59"/>
    </row>
    <row r="47" spans="1:37" s="2" customFormat="1" ht="15" customHeight="1" x14ac:dyDescent="0.2">
      <c r="A47" s="322" t="s">
        <v>137</v>
      </c>
      <c r="B47" s="279" t="s">
        <v>122</v>
      </c>
      <c r="C47" s="400"/>
      <c r="D47" s="402"/>
      <c r="E47" s="402"/>
      <c r="F47" s="402"/>
      <c r="G47" s="402"/>
      <c r="H47" s="403"/>
      <c r="I47" s="337" t="str">
        <f t="shared" si="0"/>
        <v>Effektive Spesen</v>
      </c>
      <c r="J47" s="279" t="s">
        <v>122</v>
      </c>
      <c r="K47" s="402"/>
      <c r="L47" s="402"/>
      <c r="M47" s="402"/>
      <c r="N47" s="404"/>
      <c r="O47" s="402"/>
      <c r="P47" s="403"/>
      <c r="Q47" s="70">
        <f t="shared" si="28"/>
        <v>0</v>
      </c>
      <c r="R47" s="173"/>
      <c r="S47" s="65"/>
      <c r="T47" s="65"/>
      <c r="U47" s="65"/>
      <c r="V47" s="173"/>
      <c r="W47" s="101"/>
      <c r="X47" s="58"/>
      <c r="Y47" s="59"/>
      <c r="Z47" s="59"/>
      <c r="AA47" s="59"/>
      <c r="AB47" s="59"/>
      <c r="AC47" s="59"/>
      <c r="AD47" s="59"/>
      <c r="AE47" s="59"/>
    </row>
    <row r="48" spans="1:37" s="2" customFormat="1" ht="15" customHeight="1" x14ac:dyDescent="0.2">
      <c r="A48" s="326" t="s">
        <v>138</v>
      </c>
      <c r="B48" s="283" t="s">
        <v>122</v>
      </c>
      <c r="C48" s="400">
        <f>-C31</f>
        <v>0</v>
      </c>
      <c r="D48" s="402">
        <f t="shared" ref="D48:H48" si="43">-D31</f>
        <v>0</v>
      </c>
      <c r="E48" s="402">
        <f t="shared" si="43"/>
        <v>0</v>
      </c>
      <c r="F48" s="402">
        <f t="shared" si="43"/>
        <v>0</v>
      </c>
      <c r="G48" s="402">
        <f t="shared" si="43"/>
        <v>0</v>
      </c>
      <c r="H48" s="403">
        <f t="shared" si="43"/>
        <v>0</v>
      </c>
      <c r="I48" s="338" t="str">
        <f t="shared" si="0"/>
        <v>Kost &amp; Logis (Abzug)</v>
      </c>
      <c r="J48" s="283" t="s">
        <v>122</v>
      </c>
      <c r="K48" s="402">
        <f t="shared" ref="K48:P48" si="44">-K31</f>
        <v>0</v>
      </c>
      <c r="L48" s="402">
        <f t="shared" si="44"/>
        <v>0</v>
      </c>
      <c r="M48" s="402">
        <f t="shared" si="44"/>
        <v>0</v>
      </c>
      <c r="N48" s="404">
        <f t="shared" si="44"/>
        <v>0</v>
      </c>
      <c r="O48" s="402">
        <f t="shared" si="44"/>
        <v>0</v>
      </c>
      <c r="P48" s="403">
        <f t="shared" si="44"/>
        <v>0</v>
      </c>
      <c r="Q48" s="247">
        <f t="shared" si="28"/>
        <v>0</v>
      </c>
      <c r="R48" s="57"/>
      <c r="S48" s="173"/>
      <c r="T48" s="173"/>
      <c r="U48" s="173"/>
      <c r="V48" s="57"/>
      <c r="W48" s="101"/>
      <c r="X48" s="58"/>
      <c r="Y48" s="59"/>
      <c r="Z48" s="59"/>
      <c r="AA48" s="59"/>
      <c r="AB48" s="59"/>
      <c r="AC48" s="59"/>
      <c r="AD48" s="59"/>
      <c r="AE48" s="59"/>
    </row>
    <row r="49" spans="1:31" s="2" customFormat="1" ht="15" customHeight="1" x14ac:dyDescent="0.2">
      <c r="A49" s="345" t="s">
        <v>139</v>
      </c>
      <c r="B49" s="346" t="s">
        <v>122</v>
      </c>
      <c r="C49" s="341">
        <f>MROUND(C37+(SUM(C40:C46)+C47+C48),0.05)</f>
        <v>0</v>
      </c>
      <c r="D49" s="341">
        <f t="shared" ref="D49:H49" si="45">MROUND(D37+(SUM(D40:D46)+D47+D48),0.05)</f>
        <v>0</v>
      </c>
      <c r="E49" s="341">
        <f t="shared" si="45"/>
        <v>0</v>
      </c>
      <c r="F49" s="341">
        <f t="shared" si="45"/>
        <v>0</v>
      </c>
      <c r="G49" s="341">
        <f t="shared" si="45"/>
        <v>0</v>
      </c>
      <c r="H49" s="343">
        <f t="shared" si="45"/>
        <v>0</v>
      </c>
      <c r="I49" s="345" t="str">
        <f t="shared" si="0"/>
        <v>Nettolohn auszuzahlen</v>
      </c>
      <c r="J49" s="346" t="s">
        <v>122</v>
      </c>
      <c r="K49" s="341">
        <f t="shared" ref="K49:P49" si="46">MROUND(K37+(SUM(K40:K46)+K47+K48),0.05)</f>
        <v>0</v>
      </c>
      <c r="L49" s="341">
        <f t="shared" si="46"/>
        <v>0</v>
      </c>
      <c r="M49" s="341">
        <f t="shared" si="46"/>
        <v>0</v>
      </c>
      <c r="N49" s="341">
        <f t="shared" si="46"/>
        <v>0</v>
      </c>
      <c r="O49" s="341">
        <f t="shared" si="46"/>
        <v>0</v>
      </c>
      <c r="P49" s="343">
        <f t="shared" si="46"/>
        <v>0</v>
      </c>
      <c r="Q49" s="248">
        <f>SUM(C49:H49)+SUM(K49:P49)</f>
        <v>0</v>
      </c>
      <c r="R49" s="57"/>
      <c r="S49" s="57"/>
      <c r="T49" s="57"/>
      <c r="U49" s="57"/>
      <c r="V49" s="57"/>
      <c r="W49" s="101"/>
      <c r="X49" s="58"/>
      <c r="Y49" s="59"/>
      <c r="Z49" s="59"/>
      <c r="AA49" s="59"/>
      <c r="AB49" s="59"/>
      <c r="AC49" s="59"/>
      <c r="AD49" s="59"/>
      <c r="AE49" s="59"/>
    </row>
    <row r="50" spans="1:31" s="2" customFormat="1" ht="15" customHeight="1" x14ac:dyDescent="0.2">
      <c r="A50" s="347" t="s">
        <v>140</v>
      </c>
      <c r="B50" s="340" t="s">
        <v>122</v>
      </c>
      <c r="C50" s="400"/>
      <c r="D50" s="400"/>
      <c r="E50" s="400"/>
      <c r="F50" s="400"/>
      <c r="G50" s="400"/>
      <c r="H50" s="401"/>
      <c r="I50" s="347" t="str">
        <f t="shared" si="0"/>
        <v>Nettolohn ausbezahlt</v>
      </c>
      <c r="J50" s="340" t="s">
        <v>122</v>
      </c>
      <c r="K50" s="400"/>
      <c r="L50" s="400"/>
      <c r="M50" s="400"/>
      <c r="N50" s="400"/>
      <c r="O50" s="400"/>
      <c r="P50" s="401"/>
      <c r="Q50" s="319">
        <f>SUM(C50:H50)+SUM(K50:P50)</f>
        <v>0</v>
      </c>
      <c r="R50" s="57"/>
      <c r="S50" s="57"/>
      <c r="T50" s="57"/>
      <c r="U50" s="57"/>
      <c r="V50" s="57"/>
      <c r="W50" s="101"/>
      <c r="X50" s="58"/>
      <c r="Y50" s="59"/>
      <c r="Z50" s="59"/>
      <c r="AA50" s="59"/>
      <c r="AB50" s="59"/>
      <c r="AC50" s="59"/>
      <c r="AD50" s="59"/>
      <c r="AE50" s="59"/>
    </row>
    <row r="51" spans="1:31" s="2" customFormat="1" ht="15" customHeight="1" x14ac:dyDescent="0.2">
      <c r="A51" s="348" t="s">
        <v>141</v>
      </c>
      <c r="B51" s="349" t="s">
        <v>122</v>
      </c>
      <c r="C51" s="342">
        <f>IF(C50=0,0,C50-C49)</f>
        <v>0</v>
      </c>
      <c r="D51" s="342">
        <f t="shared" ref="D51:H51" si="47">IF(D50=0,0,D50-D49)</f>
        <v>0</v>
      </c>
      <c r="E51" s="342">
        <f t="shared" si="47"/>
        <v>0</v>
      </c>
      <c r="F51" s="342">
        <f t="shared" si="47"/>
        <v>0</v>
      </c>
      <c r="G51" s="342">
        <f t="shared" si="47"/>
        <v>0</v>
      </c>
      <c r="H51" s="344">
        <f t="shared" si="47"/>
        <v>0</v>
      </c>
      <c r="I51" s="348" t="str">
        <f t="shared" si="0"/>
        <v>Differenz</v>
      </c>
      <c r="J51" s="349" t="s">
        <v>122</v>
      </c>
      <c r="K51" s="342">
        <f t="shared" ref="K51:P51" si="48">IF(K50=0,0,K50-K49)</f>
        <v>0</v>
      </c>
      <c r="L51" s="342">
        <f t="shared" si="48"/>
        <v>0</v>
      </c>
      <c r="M51" s="342">
        <f t="shared" si="48"/>
        <v>0</v>
      </c>
      <c r="N51" s="342">
        <f t="shared" si="48"/>
        <v>0</v>
      </c>
      <c r="O51" s="342">
        <f t="shared" si="48"/>
        <v>0</v>
      </c>
      <c r="P51" s="344">
        <f t="shared" si="48"/>
        <v>0</v>
      </c>
      <c r="Q51" s="319">
        <f>SUM(C51:H51)+SUM(K51:P51)</f>
        <v>0</v>
      </c>
      <c r="R51" s="57"/>
      <c r="S51" s="57"/>
      <c r="T51" s="57"/>
      <c r="U51" s="57"/>
      <c r="V51" s="57"/>
      <c r="W51" s="101"/>
      <c r="X51" s="58"/>
      <c r="Y51" s="59"/>
      <c r="Z51" s="59"/>
      <c r="AA51" s="59"/>
      <c r="AB51" s="59"/>
      <c r="AC51" s="59"/>
      <c r="AD51" s="59"/>
      <c r="AE51" s="59"/>
    </row>
    <row r="52" spans="1:31" s="2" customFormat="1" ht="15" customHeight="1" x14ac:dyDescent="0.2">
      <c r="A52" s="71" t="s">
        <v>142</v>
      </c>
      <c r="B52" s="336"/>
      <c r="C52" s="458"/>
      <c r="D52" s="458"/>
      <c r="E52" s="458"/>
      <c r="F52" s="458"/>
      <c r="G52" s="458"/>
      <c r="H52" s="461"/>
      <c r="I52" s="71" t="str">
        <f t="shared" si="0"/>
        <v>Bemerkungen</v>
      </c>
      <c r="J52" s="336"/>
      <c r="K52" s="458"/>
      <c r="L52" s="458"/>
      <c r="M52" s="458"/>
      <c r="N52" s="458"/>
      <c r="O52" s="463"/>
      <c r="P52" s="461"/>
      <c r="Q52" s="72">
        <f t="shared" ref="Q52" si="49">SUM(C52:H52)+SUM(K52:P52)</f>
        <v>0</v>
      </c>
      <c r="R52" s="65"/>
      <c r="S52" s="57"/>
      <c r="T52" s="57"/>
      <c r="U52" s="57"/>
      <c r="V52" s="65"/>
      <c r="W52" s="101"/>
      <c r="X52" s="59"/>
      <c r="Y52" s="59"/>
      <c r="Z52" s="59"/>
      <c r="AA52" s="59"/>
      <c r="AB52" s="59"/>
      <c r="AC52" s="59"/>
      <c r="AD52" s="59"/>
      <c r="AE52" s="59"/>
    </row>
    <row r="53" spans="1:31" s="6" customFormat="1" ht="15" customHeight="1" thickBot="1" x14ac:dyDescent="0.25">
      <c r="A53" s="327"/>
      <c r="B53" s="285"/>
      <c r="C53" s="459"/>
      <c r="D53" s="459"/>
      <c r="E53" s="459"/>
      <c r="F53" s="459"/>
      <c r="G53" s="459"/>
      <c r="H53" s="462"/>
      <c r="I53" s="327"/>
      <c r="J53" s="285"/>
      <c r="K53" s="459"/>
      <c r="L53" s="459"/>
      <c r="M53" s="459"/>
      <c r="N53" s="459"/>
      <c r="O53" s="464"/>
      <c r="P53" s="462"/>
      <c r="Q53" s="73"/>
      <c r="R53" s="79"/>
      <c r="S53" s="65"/>
      <c r="T53" s="65"/>
      <c r="U53" s="65"/>
      <c r="V53" s="79"/>
      <c r="W53" s="101"/>
      <c r="X53" s="59"/>
      <c r="Y53" s="59"/>
      <c r="Z53" s="59"/>
      <c r="AA53" s="59"/>
      <c r="AB53" s="59"/>
      <c r="AC53" s="59"/>
      <c r="AD53" s="64"/>
      <c r="AE53" s="64"/>
    </row>
    <row r="54" spans="1:31" s="2" customFormat="1" ht="5.0999999999999996" customHeight="1" thickBot="1" x14ac:dyDescent="0.25">
      <c r="A54" s="53"/>
      <c r="B54" s="53"/>
      <c r="C54" s="74"/>
      <c r="D54" s="54"/>
      <c r="E54" s="55"/>
      <c r="F54" s="54"/>
      <c r="G54" s="54"/>
      <c r="H54" s="56"/>
      <c r="I54" s="53"/>
      <c r="J54" s="53"/>
      <c r="K54" s="56"/>
      <c r="L54" s="56"/>
      <c r="M54" s="56"/>
      <c r="N54" s="74"/>
      <c r="O54" s="54"/>
      <c r="P54" s="54"/>
      <c r="Q54" s="54">
        <f>SUM(C54:H54)+SUM(K54:P54)</f>
        <v>0</v>
      </c>
      <c r="R54" s="57"/>
      <c r="S54" s="79"/>
      <c r="T54" s="79"/>
      <c r="U54" s="79"/>
      <c r="V54" s="57"/>
      <c r="W54" s="102"/>
      <c r="X54" s="63"/>
      <c r="Y54" s="64"/>
      <c r="Z54" s="64"/>
      <c r="AA54" s="64"/>
      <c r="AB54" s="64"/>
      <c r="AC54" s="64"/>
      <c r="AD54" s="59"/>
      <c r="AE54" s="59"/>
    </row>
    <row r="55" spans="1:31" s="2" customFormat="1" ht="15" customHeight="1" x14ac:dyDescent="0.2">
      <c r="A55" s="328" t="s">
        <v>143</v>
      </c>
      <c r="B55" s="286"/>
      <c r="C55" s="85">
        <f t="shared" ref="C55:H55" si="50">C21</f>
        <v>45292</v>
      </c>
      <c r="D55" s="86">
        <f t="shared" si="50"/>
        <v>45323</v>
      </c>
      <c r="E55" s="86">
        <f t="shared" si="50"/>
        <v>45352</v>
      </c>
      <c r="F55" s="86">
        <f t="shared" si="50"/>
        <v>45383</v>
      </c>
      <c r="G55" s="86">
        <f t="shared" si="50"/>
        <v>45413</v>
      </c>
      <c r="H55" s="87">
        <f t="shared" si="50"/>
        <v>45444</v>
      </c>
      <c r="I55" s="328" t="str">
        <f>A55</f>
        <v>Eingabe in AssistMe</v>
      </c>
      <c r="J55" s="286"/>
      <c r="K55" s="86">
        <f t="shared" ref="K55:P55" si="51">K21</f>
        <v>45474</v>
      </c>
      <c r="L55" s="86">
        <f t="shared" si="51"/>
        <v>45505</v>
      </c>
      <c r="M55" s="86">
        <f t="shared" si="51"/>
        <v>45536</v>
      </c>
      <c r="N55" s="88">
        <f t="shared" si="51"/>
        <v>45566</v>
      </c>
      <c r="O55" s="86">
        <f t="shared" si="51"/>
        <v>45597</v>
      </c>
      <c r="P55" s="87">
        <f t="shared" si="51"/>
        <v>45627</v>
      </c>
      <c r="Q55" s="234" t="s">
        <v>120</v>
      </c>
      <c r="R55" s="57"/>
      <c r="S55" s="57"/>
      <c r="T55" s="57"/>
      <c r="U55" s="57"/>
      <c r="V55" s="57"/>
      <c r="W55" s="101"/>
      <c r="X55" s="59"/>
      <c r="Y55" s="59"/>
      <c r="Z55" s="59"/>
      <c r="AA55" s="59"/>
      <c r="AB55" s="59"/>
      <c r="AC55" s="59"/>
      <c r="AD55" s="59"/>
      <c r="AE55" s="59"/>
    </row>
    <row r="56" spans="1:31" s="2" customFormat="1" ht="15" customHeight="1" x14ac:dyDescent="0.2">
      <c r="A56" s="329" t="s">
        <v>144</v>
      </c>
      <c r="B56" s="287" t="s">
        <v>145</v>
      </c>
      <c r="C56" s="300" t="str">
        <f>IF($C$16="Stundenlohn",IF($M$8="","",(C25*$P$10)+(C24*$P$7)+C26+C28+(C32+C33)/(IF($M$13&gt;1,((($M$8+$M$13)/2)),$M$8))),"Monatslohn")</f>
        <v>Monatslohn</v>
      </c>
      <c r="D56" s="300" t="str">
        <f t="shared" ref="D56" si="52">IF($C$16="Stundenlohn",IF($M$8="","",(D25*$P$10)+(D24*$P$7)+D26+D28+(D32+D33)/(IF($M$13&gt;1,((($M$8+$M$13)/2)),$M$8))),"Monatslohn")</f>
        <v>Monatslohn</v>
      </c>
      <c r="E56" s="300" t="str">
        <f>IF($C$16="Stundenlohn",IF($M$8="","",(E25*$P$10)+(E24*$P$7)+E26+E28+(E32+E33)/(IF($M$13&gt;1,((($M$8+$M$13)/2)),$M$8))),"Monatslohn")</f>
        <v>Monatslohn</v>
      </c>
      <c r="F56" s="300" t="str">
        <f t="shared" ref="F56:H56" si="53">IF($C$16="Stundenlohn",IF($M$8="","",(F25*$P$10)+(F24*$P$7)+F26+F28+(F32+F33)/(IF($M$13&gt;1,((($M$8+$M$13)/2)),$M$8))),"Monatslohn")</f>
        <v>Monatslohn</v>
      </c>
      <c r="G56" s="300" t="str">
        <f t="shared" si="53"/>
        <v>Monatslohn</v>
      </c>
      <c r="H56" s="301" t="str">
        <f t="shared" si="53"/>
        <v>Monatslohn</v>
      </c>
      <c r="I56" s="330" t="str">
        <f>A56</f>
        <v>Anzahl Stunden</v>
      </c>
      <c r="J56" s="287" t="s">
        <v>145</v>
      </c>
      <c r="K56" s="300" t="str">
        <f t="shared" ref="K56:P56" si="54">IF($C$16="Stundenlohn",IF($M$8="","",(K25*$P$10)+(K24*$P$7)+K26+K28+(K32+K33)/(IF($M$13&gt;1,((($M$8+$M$13)/2)),$M$8))),"Monatslohn")</f>
        <v>Monatslohn</v>
      </c>
      <c r="L56" s="300" t="str">
        <f t="shared" si="54"/>
        <v>Monatslohn</v>
      </c>
      <c r="M56" s="300" t="str">
        <f t="shared" si="54"/>
        <v>Monatslohn</v>
      </c>
      <c r="N56" s="300" t="str">
        <f t="shared" si="54"/>
        <v>Monatslohn</v>
      </c>
      <c r="O56" s="300" t="str">
        <f t="shared" si="54"/>
        <v>Monatslohn</v>
      </c>
      <c r="P56" s="301" t="str">
        <f t="shared" si="54"/>
        <v>Monatslohn</v>
      </c>
      <c r="Q56" s="239">
        <f>SUM(C56:H56)+SUM(K56:P56)</f>
        <v>0</v>
      </c>
      <c r="R56" s="57"/>
      <c r="S56" s="57"/>
      <c r="T56" s="57"/>
      <c r="U56" s="57"/>
      <c r="V56" s="57"/>
      <c r="W56" s="101"/>
      <c r="X56" s="59"/>
      <c r="Y56" s="59"/>
      <c r="Z56" s="59"/>
      <c r="AA56" s="59"/>
      <c r="AB56" s="59"/>
      <c r="AC56" s="59"/>
      <c r="AD56" s="59"/>
      <c r="AE56" s="59"/>
    </row>
    <row r="57" spans="1:31" s="2" customFormat="1" ht="15" customHeight="1" x14ac:dyDescent="0.2">
      <c r="A57" s="330" t="s">
        <v>146</v>
      </c>
      <c r="B57" s="288" t="s">
        <v>122</v>
      </c>
      <c r="C57" s="302">
        <f>C49-C48-C47-C46-C36-C35-C34-C31</f>
        <v>0</v>
      </c>
      <c r="D57" s="302">
        <f t="shared" ref="D57:H57" si="55">D49-D48-D47-D46-D36-D35-D34-D31</f>
        <v>0</v>
      </c>
      <c r="E57" s="302">
        <f t="shared" si="55"/>
        <v>0</v>
      </c>
      <c r="F57" s="302">
        <f t="shared" si="55"/>
        <v>0</v>
      </c>
      <c r="G57" s="302">
        <f t="shared" si="55"/>
        <v>0</v>
      </c>
      <c r="H57" s="301">
        <f t="shared" si="55"/>
        <v>0</v>
      </c>
      <c r="I57" s="330" t="str">
        <f>A57</f>
        <v>Nettolohn</v>
      </c>
      <c r="J57" s="288" t="s">
        <v>122</v>
      </c>
      <c r="K57" s="60">
        <f t="shared" ref="K57:P57" si="56">K49-K48-K47-K46-K36-K35-K34-K31</f>
        <v>0</v>
      </c>
      <c r="L57" s="60">
        <f t="shared" si="56"/>
        <v>0</v>
      </c>
      <c r="M57" s="60">
        <f t="shared" si="56"/>
        <v>0</v>
      </c>
      <c r="N57" s="311">
        <f t="shared" si="56"/>
        <v>0</v>
      </c>
      <c r="O57" s="60">
        <f t="shared" si="56"/>
        <v>0</v>
      </c>
      <c r="P57" s="61">
        <f t="shared" si="56"/>
        <v>0</v>
      </c>
      <c r="Q57" s="61">
        <f>SUM(C57:H57)+SUM(K57:P57)</f>
        <v>0</v>
      </c>
      <c r="R57" s="57"/>
      <c r="S57" s="57"/>
      <c r="T57" s="57"/>
      <c r="U57" s="57"/>
      <c r="V57" s="57"/>
      <c r="W57" s="101"/>
      <c r="X57" s="58"/>
      <c r="Y57" s="59"/>
      <c r="Z57" s="59"/>
      <c r="AA57" s="59"/>
      <c r="AB57" s="59"/>
      <c r="AC57" s="59"/>
      <c r="AD57" s="59"/>
      <c r="AE57" s="59"/>
    </row>
    <row r="58" spans="1:31" s="2" customFormat="1" ht="15" customHeight="1" thickBot="1" x14ac:dyDescent="0.25">
      <c r="A58" s="331" t="s">
        <v>147</v>
      </c>
      <c r="B58" s="289" t="s">
        <v>122</v>
      </c>
      <c r="C58" s="303">
        <f>IF(C32&gt;0.1,C32-(C32*(SUM($T$8:$T$14)+$Y$9+$T$16))-(C32/IF(C39=0,1,C39)*-C44),IF(C32&lt;-0.1,C32-(C32*(SUM($T$8:$T$14)+$Y$9+$T$16))-(C32/IF(C39=0,1,C39)*-C44),0))</f>
        <v>0</v>
      </c>
      <c r="D58" s="303">
        <f t="shared" ref="D58:H58" si="57">IF(D32&gt;0.1,D32-(D32*(SUM($T$8:$T$14)+$Y$9+$T$16))-(D32/IF(D39=0,1,D39)*-D44),IF(D32&lt;-0.1,D32-(D32*(SUM($T$8:$T$14)+$Y$9+$T$16))-(D32/IF(D39=0,1,D39)*-D44),0))</f>
        <v>0</v>
      </c>
      <c r="E58" s="303">
        <f t="shared" si="57"/>
        <v>0</v>
      </c>
      <c r="F58" s="303">
        <f t="shared" si="57"/>
        <v>0</v>
      </c>
      <c r="G58" s="303">
        <f t="shared" si="57"/>
        <v>0</v>
      </c>
      <c r="H58" s="304">
        <f t="shared" si="57"/>
        <v>0</v>
      </c>
      <c r="I58" s="331" t="str">
        <f>A58</f>
        <v>Davon LFP gem. OR324a</v>
      </c>
      <c r="J58" s="289" t="s">
        <v>122</v>
      </c>
      <c r="K58" s="303">
        <f t="shared" ref="K58:P58" si="58">IF(K32&gt;0.1,K32-(K32*(SUM($T$8:$T$14)+$Y$9+$T$16))-(K32/IF(K39=0,1,K39)*-K44),IF(K32&lt;-0.1,K32-(K32*(SUM($T$8:$T$14)+$Y$9+$T$16))-(K32/IF(K39=0,1,K39)*-K44),0))</f>
        <v>0</v>
      </c>
      <c r="L58" s="303">
        <f t="shared" si="58"/>
        <v>0</v>
      </c>
      <c r="M58" s="303">
        <f t="shared" si="58"/>
        <v>0</v>
      </c>
      <c r="N58" s="303">
        <f t="shared" si="58"/>
        <v>0</v>
      </c>
      <c r="O58" s="303">
        <f t="shared" si="58"/>
        <v>0</v>
      </c>
      <c r="P58" s="304">
        <f t="shared" si="58"/>
        <v>0</v>
      </c>
      <c r="Q58" s="84">
        <f>SUM(C58:H58)+SUM(K58:P58)</f>
        <v>0</v>
      </c>
      <c r="R58" s="57"/>
      <c r="S58" s="57"/>
      <c r="T58" s="57"/>
      <c r="U58" s="57"/>
      <c r="V58" s="57"/>
      <c r="W58" s="101"/>
      <c r="X58" s="58"/>
      <c r="Y58" s="59"/>
      <c r="Z58" s="59"/>
      <c r="AA58" s="59"/>
      <c r="AB58" s="59"/>
      <c r="AC58" s="59"/>
      <c r="AD58" s="59"/>
      <c r="AE58" s="59"/>
    </row>
    <row r="59" spans="1:31" s="6" customFormat="1" ht="5.0999999999999996" customHeight="1" thickBot="1" x14ac:dyDescent="0.25">
      <c r="A59" s="2"/>
      <c r="B59" s="2"/>
      <c r="C59" s="65"/>
      <c r="D59" s="57"/>
      <c r="E59" s="66"/>
      <c r="F59" s="57"/>
      <c r="G59" s="57"/>
      <c r="H59" s="67"/>
      <c r="I59" s="2"/>
      <c r="J59" s="2"/>
      <c r="K59" s="67"/>
      <c r="L59" s="67"/>
      <c r="M59" s="67"/>
      <c r="N59" s="65"/>
      <c r="O59" s="57"/>
      <c r="P59" s="57"/>
      <c r="Q59" s="57"/>
      <c r="R59" s="62"/>
      <c r="S59" s="57"/>
      <c r="T59" s="57"/>
      <c r="U59" s="57"/>
      <c r="V59" s="62"/>
      <c r="W59" s="101"/>
      <c r="X59" s="58"/>
      <c r="Y59" s="59"/>
      <c r="Z59" s="59"/>
      <c r="AA59" s="59"/>
      <c r="AB59" s="59"/>
      <c r="AC59" s="59"/>
      <c r="AD59" s="64"/>
      <c r="AE59" s="64"/>
    </row>
    <row r="60" spans="1:31" s="6" customFormat="1" ht="15" customHeight="1" x14ac:dyDescent="0.2">
      <c r="A60" s="332" t="str">
        <f>IF(G12="ja","Assistenzbeitrag IV","")</f>
        <v/>
      </c>
      <c r="B60" s="290"/>
      <c r="C60" s="229" t="str">
        <f t="shared" ref="C60:H60" si="59">IF($G$12="JA",C21,"")</f>
        <v/>
      </c>
      <c r="D60" s="229" t="str">
        <f t="shared" si="59"/>
        <v/>
      </c>
      <c r="E60" s="229" t="str">
        <f t="shared" si="59"/>
        <v/>
      </c>
      <c r="F60" s="229" t="str">
        <f t="shared" si="59"/>
        <v/>
      </c>
      <c r="G60" s="229" t="str">
        <f t="shared" si="59"/>
        <v/>
      </c>
      <c r="H60" s="230" t="str">
        <f t="shared" si="59"/>
        <v/>
      </c>
      <c r="I60" s="332" t="str">
        <f t="shared" ref="I60:I64" si="60">A60</f>
        <v/>
      </c>
      <c r="J60" s="290"/>
      <c r="K60" s="229" t="str">
        <f t="shared" ref="K60:P60" si="61">IF($G$12="JA",K21,"")</f>
        <v/>
      </c>
      <c r="L60" s="229" t="str">
        <f t="shared" si="61"/>
        <v/>
      </c>
      <c r="M60" s="229" t="str">
        <f t="shared" si="61"/>
        <v/>
      </c>
      <c r="N60" s="231" t="str">
        <f t="shared" si="61"/>
        <v/>
      </c>
      <c r="O60" s="229" t="str">
        <f t="shared" si="61"/>
        <v/>
      </c>
      <c r="P60" s="230" t="str">
        <f t="shared" si="61"/>
        <v/>
      </c>
      <c r="Q60" s="235" t="str">
        <f>IF($G$12="JA","Total","")</f>
        <v/>
      </c>
      <c r="R60" s="62"/>
      <c r="S60" s="62"/>
      <c r="T60" s="62"/>
      <c r="U60" s="62"/>
      <c r="V60" s="62"/>
      <c r="W60" s="102"/>
      <c r="X60" s="63"/>
      <c r="Y60" s="64"/>
      <c r="Z60" s="64"/>
      <c r="AA60" s="64"/>
      <c r="AB60" s="64"/>
      <c r="AC60" s="64"/>
      <c r="AD60" s="64"/>
      <c r="AE60" s="64"/>
    </row>
    <row r="61" spans="1:31" s="2" customFormat="1" ht="15" customHeight="1" x14ac:dyDescent="0.2">
      <c r="A61" s="333" t="str">
        <f>IF(G12="ja","Anz. Stunden Standard","")</f>
        <v/>
      </c>
      <c r="B61" s="291" t="str">
        <f>IF(G12="ja","Std."," ")</f>
        <v xml:space="preserve"> </v>
      </c>
      <c r="C61" s="305" t="str">
        <f>IF($G$12="JA",(IF(DATEDIF($F$7,C$21,"Y")&lt;18,0,C26+C28)),"")</f>
        <v/>
      </c>
      <c r="D61" s="305" t="str">
        <f t="shared" ref="D61:H61" si="62">IF($G$12="JA",(IF(DATEDIF($F$7,D$21,"Y")&lt;18,0,D26+D28)),"")</f>
        <v/>
      </c>
      <c r="E61" s="305" t="str">
        <f t="shared" si="62"/>
        <v/>
      </c>
      <c r="F61" s="305" t="str">
        <f t="shared" si="62"/>
        <v/>
      </c>
      <c r="G61" s="305" t="str">
        <f t="shared" si="62"/>
        <v/>
      </c>
      <c r="H61" s="305" t="str">
        <f t="shared" si="62"/>
        <v/>
      </c>
      <c r="I61" s="334" t="str">
        <f t="shared" si="60"/>
        <v/>
      </c>
      <c r="J61" s="291" t="str">
        <f>B61</f>
        <v xml:space="preserve"> </v>
      </c>
      <c r="K61" s="305" t="str">
        <f t="shared" ref="K61:P61" si="63">IF($G$12="JA",(IF(DATEDIF($F$7,K$21,"Y")&lt;18,0,K26+K28)),"")</f>
        <v/>
      </c>
      <c r="L61" s="305" t="str">
        <f t="shared" si="63"/>
        <v/>
      </c>
      <c r="M61" s="305" t="str">
        <f t="shared" si="63"/>
        <v/>
      </c>
      <c r="N61" s="305" t="str">
        <f t="shared" si="63"/>
        <v/>
      </c>
      <c r="O61" s="305" t="str">
        <f t="shared" si="63"/>
        <v/>
      </c>
      <c r="P61" s="306" t="str">
        <f t="shared" si="63"/>
        <v/>
      </c>
      <c r="Q61" s="423" t="str">
        <f>IF($G$12="JA",SUM(C61:H61)+SUM(K61:P61),"")</f>
        <v/>
      </c>
      <c r="R61" s="57"/>
      <c r="S61" s="62"/>
      <c r="T61" s="62"/>
      <c r="U61" s="62"/>
      <c r="V61" s="57"/>
      <c r="W61" s="102"/>
      <c r="X61" s="63"/>
      <c r="Y61" s="64"/>
      <c r="Z61" s="64"/>
      <c r="AA61" s="64"/>
      <c r="AB61" s="64"/>
      <c r="AC61" s="64"/>
      <c r="AD61" s="59"/>
      <c r="AE61" s="59"/>
    </row>
    <row r="62" spans="1:31" s="2" customFormat="1" ht="15" customHeight="1" x14ac:dyDescent="0.2">
      <c r="A62" s="334" t="str">
        <f>IF(G12="ja","Anz. Stunden Quali B","")</f>
        <v/>
      </c>
      <c r="B62" s="292" t="str">
        <f>IF(G12="ja","Std."," ")</f>
        <v xml:space="preserve"> </v>
      </c>
      <c r="C62" s="305"/>
      <c r="D62" s="305"/>
      <c r="E62" s="305"/>
      <c r="F62" s="305"/>
      <c r="G62" s="305"/>
      <c r="H62" s="306"/>
      <c r="I62" s="334" t="str">
        <f t="shared" si="60"/>
        <v/>
      </c>
      <c r="J62" s="292" t="str">
        <f>B62</f>
        <v xml:space="preserve"> </v>
      </c>
      <c r="K62" s="233"/>
      <c r="L62" s="233"/>
      <c r="M62" s="233"/>
      <c r="N62" s="309"/>
      <c r="O62" s="233"/>
      <c r="P62" s="232"/>
      <c r="Q62" s="232" t="str">
        <f>IF($G$12="JA",SUM(C62:H62)+SUM(K62:P62),"")</f>
        <v/>
      </c>
      <c r="R62" s="57"/>
      <c r="S62" s="57"/>
      <c r="T62" s="57"/>
      <c r="U62" s="57"/>
      <c r="V62" s="57"/>
      <c r="W62" s="101"/>
      <c r="X62" s="58"/>
      <c r="Y62" s="58"/>
      <c r="Z62" s="58"/>
      <c r="AA62" s="58"/>
      <c r="AB62" s="58"/>
      <c r="AC62" s="58"/>
      <c r="AD62" s="58"/>
      <c r="AE62" s="58"/>
    </row>
    <row r="63" spans="1:31" s="2" customFormat="1" ht="15" customHeight="1" x14ac:dyDescent="0.2">
      <c r="A63" s="390" t="str">
        <f>IF(G12="ja","Anz. Nachtdienste","")</f>
        <v/>
      </c>
      <c r="B63" s="292" t="str">
        <f>IF(G12="ja","Anz."," ")</f>
        <v xml:space="preserve"> </v>
      </c>
      <c r="C63" s="391" t="str">
        <f t="shared" ref="C63:H63" si="64">IF($G$12="JA",(IF(DATEDIF($F$7,C$21,"Y")&lt;18,0,C25)),"")</f>
        <v/>
      </c>
      <c r="D63" s="391" t="str">
        <f t="shared" si="64"/>
        <v/>
      </c>
      <c r="E63" s="391" t="str">
        <f t="shared" si="64"/>
        <v/>
      </c>
      <c r="F63" s="391" t="str">
        <f t="shared" si="64"/>
        <v/>
      </c>
      <c r="G63" s="391" t="str">
        <f t="shared" si="64"/>
        <v/>
      </c>
      <c r="H63" s="392" t="str">
        <f t="shared" si="64"/>
        <v/>
      </c>
      <c r="I63" s="334" t="str">
        <f t="shared" si="60"/>
        <v/>
      </c>
      <c r="J63" s="292" t="str">
        <f>B63</f>
        <v xml:space="preserve"> </v>
      </c>
      <c r="K63" s="393" t="str">
        <f t="shared" ref="K63:P63" si="65">IF($G$12="JA",(IF(DATEDIF($F$7,K$21,"Y")&lt;18,0,K25)),"")</f>
        <v/>
      </c>
      <c r="L63" s="393" t="str">
        <f t="shared" si="65"/>
        <v/>
      </c>
      <c r="M63" s="393" t="str">
        <f t="shared" si="65"/>
        <v/>
      </c>
      <c r="N63" s="394" t="str">
        <f t="shared" si="65"/>
        <v/>
      </c>
      <c r="O63" s="393" t="str">
        <f t="shared" si="65"/>
        <v/>
      </c>
      <c r="P63" s="395" t="str">
        <f t="shared" si="65"/>
        <v/>
      </c>
      <c r="Q63" s="232" t="str">
        <f>IF($G$12="JA",SUM(C63:H63)+SUM(K63:P63),"")</f>
        <v/>
      </c>
      <c r="R63" s="57"/>
      <c r="S63" s="57"/>
      <c r="T63" s="57"/>
      <c r="U63" s="57"/>
      <c r="V63" s="57"/>
      <c r="W63" s="101"/>
      <c r="X63" s="58"/>
      <c r="Y63" s="58"/>
      <c r="Z63" s="58"/>
      <c r="AA63" s="58"/>
      <c r="AB63" s="58"/>
      <c r="AC63" s="58"/>
      <c r="AD63" s="58"/>
      <c r="AE63" s="58"/>
    </row>
    <row r="64" spans="1:31" s="2" customFormat="1" ht="15" customHeight="1" thickBot="1" x14ac:dyDescent="0.25">
      <c r="A64" s="335" t="str">
        <f>IF(G12="ja","Lohnfortzahlung abrechnen","")</f>
        <v/>
      </c>
      <c r="B64" s="293"/>
      <c r="C64" s="307" t="str">
        <f t="shared" ref="C64:H64" si="66">IF($G$12="JA",(IF(DATEDIF($F$7,C$21,"Y")&lt;18,0,(IF(OR(C32&gt;0.1,C33&gt;0.1),"LFP abrechnen","")))),"")</f>
        <v/>
      </c>
      <c r="D64" s="307" t="str">
        <f t="shared" si="66"/>
        <v/>
      </c>
      <c r="E64" s="307" t="str">
        <f t="shared" si="66"/>
        <v/>
      </c>
      <c r="F64" s="307" t="str">
        <f t="shared" si="66"/>
        <v/>
      </c>
      <c r="G64" s="307" t="str">
        <f t="shared" si="66"/>
        <v/>
      </c>
      <c r="H64" s="308" t="str">
        <f t="shared" si="66"/>
        <v/>
      </c>
      <c r="I64" s="335" t="str">
        <f t="shared" si="60"/>
        <v/>
      </c>
      <c r="J64" s="293">
        <f>B64</f>
        <v>0</v>
      </c>
      <c r="K64" s="307" t="str">
        <f t="shared" ref="K64:P64" si="67">IF($G$12="JA",(IF(DATEDIF($F$7,K$21,"Y")&lt;18,0,(IF(OR(K32&gt;0.1,K33&gt;0.1),"LFP abrechnen","")))),"")</f>
        <v/>
      </c>
      <c r="L64" s="307" t="str">
        <f t="shared" si="67"/>
        <v/>
      </c>
      <c r="M64" s="307" t="str">
        <f t="shared" si="67"/>
        <v/>
      </c>
      <c r="N64" s="310" t="str">
        <f t="shared" si="67"/>
        <v/>
      </c>
      <c r="O64" s="307" t="str">
        <f t="shared" si="67"/>
        <v/>
      </c>
      <c r="P64" s="308" t="str">
        <f t="shared" si="67"/>
        <v/>
      </c>
      <c r="Q64" s="237"/>
      <c r="R64" s="57"/>
      <c r="S64" s="57"/>
      <c r="T64" s="57"/>
      <c r="U64" s="57"/>
      <c r="V64" s="57"/>
      <c r="W64" s="101"/>
      <c r="X64" s="58"/>
      <c r="Y64" s="58"/>
      <c r="Z64" s="58"/>
      <c r="AA64" s="58"/>
      <c r="AB64" s="58"/>
      <c r="AC64" s="58"/>
      <c r="AD64" s="58"/>
      <c r="AE64" s="58"/>
    </row>
    <row r="65" spans="1:31" s="6" customFormat="1" ht="15" customHeight="1" x14ac:dyDescent="0.2">
      <c r="A65" s="1"/>
      <c r="B65" s="1"/>
      <c r="C65" s="1"/>
      <c r="D65" s="1"/>
      <c r="E65" s="1"/>
      <c r="F65" s="1"/>
      <c r="G65" s="1"/>
      <c r="H65" s="1"/>
      <c r="I65" s="1"/>
      <c r="J65" s="1"/>
      <c r="K65" s="1"/>
      <c r="L65" s="1"/>
      <c r="M65" s="1"/>
      <c r="N65" s="1"/>
      <c r="O65" s="1"/>
      <c r="P65" s="1"/>
      <c r="Q65" s="1"/>
      <c r="R65" s="62"/>
      <c r="S65" s="62"/>
      <c r="T65" s="62"/>
      <c r="U65" s="62"/>
      <c r="V65" s="62"/>
      <c r="W65" s="102"/>
      <c r="X65" s="236"/>
      <c r="Y65" s="236"/>
      <c r="Z65" s="236"/>
      <c r="AA65" s="236"/>
      <c r="AB65" s="236"/>
      <c r="AC65" s="236"/>
      <c r="AD65" s="236"/>
      <c r="AE65" s="236"/>
    </row>
    <row r="66" spans="1:31" ht="15" customHeight="1" x14ac:dyDescent="0.2">
      <c r="S66" s="62"/>
      <c r="T66" s="62"/>
      <c r="U66" s="62"/>
    </row>
  </sheetData>
  <sheetProtection algorithmName="SHA-512" hashValue="UUSOdNmy7nnRX5qvoL4elpjP4ZrkcuzEzp6n7s+Yv/CrA0dzun9qzvkkywwUhfNumRzhvToISRiFRRgqnLdGMQ==" saltValue="eeXdGORzmLpJy4z3Jd9WmA==" spinCount="100000" sheet="1" objects="1" scenarios="1"/>
  <mergeCells count="49">
    <mergeCell ref="S18:U18"/>
    <mergeCell ref="S20:U22"/>
    <mergeCell ref="C7:D7"/>
    <mergeCell ref="F7:G7"/>
    <mergeCell ref="F14:G14"/>
    <mergeCell ref="F15:G15"/>
    <mergeCell ref="F16:G16"/>
    <mergeCell ref="C8:D8"/>
    <mergeCell ref="F8:G8"/>
    <mergeCell ref="C9:D9"/>
    <mergeCell ref="F9:G9"/>
    <mergeCell ref="H52:H53"/>
    <mergeCell ref="K52:K53"/>
    <mergeCell ref="L52:L53"/>
    <mergeCell ref="M52:M53"/>
    <mergeCell ref="N52:N53"/>
    <mergeCell ref="C52:C53"/>
    <mergeCell ref="D52:D53"/>
    <mergeCell ref="E52:E53"/>
    <mergeCell ref="F52:F53"/>
    <mergeCell ref="G52:G53"/>
    <mergeCell ref="P1:Q3"/>
    <mergeCell ref="A2:C2"/>
    <mergeCell ref="I2:K2"/>
    <mergeCell ref="Y2:Y5"/>
    <mergeCell ref="AA2:AA5"/>
    <mergeCell ref="I4:L4"/>
    <mergeCell ref="S4:T4"/>
    <mergeCell ref="X4:X5"/>
    <mergeCell ref="Z4:Z5"/>
    <mergeCell ref="A1:C1"/>
    <mergeCell ref="D1:F2"/>
    <mergeCell ref="G1:H3"/>
    <mergeCell ref="I1:K1"/>
    <mergeCell ref="L1:N2"/>
    <mergeCell ref="AB4:AB5"/>
    <mergeCell ref="AC4:AC5"/>
    <mergeCell ref="AD4:AD5"/>
    <mergeCell ref="AH4:AI5"/>
    <mergeCell ref="C6:D6"/>
    <mergeCell ref="F6:G6"/>
    <mergeCell ref="O52:O53"/>
    <mergeCell ref="P52:P53"/>
    <mergeCell ref="S24:U26"/>
    <mergeCell ref="S28:U30"/>
    <mergeCell ref="S31:U32"/>
    <mergeCell ref="S33:U35"/>
    <mergeCell ref="S36:U40"/>
    <mergeCell ref="S41:U43"/>
  </mergeCells>
  <conditionalFormatting sqref="A25">
    <cfRule type="beginsWith" dxfId="155" priority="19" operator="beginsWith" text="Anz">
      <formula>LEFT(A25,LEN("Anz"))="Anz"</formula>
    </cfRule>
  </conditionalFormatting>
  <conditionalFormatting sqref="A26">
    <cfRule type="containsText" dxfId="154" priority="49" operator="containsText" text="Anzahl Stunden I">
      <formula>NOT(ISERROR(SEARCH("Anzahl Stunden I",A26)))</formula>
    </cfRule>
    <cfRule type="containsText" dxfId="153" priority="48" operator="containsText" text="Anzahl Stunden Standard">
      <formula>NOT(ISERROR(SEARCH("Anzahl Stunden Standard",A26)))</formula>
    </cfRule>
    <cfRule type="containsText" dxfId="152" priority="44" operator="containsText" text="Anzahl Stunden">
      <formula>NOT(ISERROR(SEARCH("Anzahl Stunden",A26)))</formula>
    </cfRule>
  </conditionalFormatting>
  <conditionalFormatting sqref="A28">
    <cfRule type="containsText" dxfId="151" priority="46" operator="containsText" text="Anzahl Stunden Quali B">
      <formula>NOT(ISERROR(SEARCH("Anzahl Stunden Quali B",A28)))</formula>
    </cfRule>
    <cfRule type="containsText" dxfId="150" priority="47" operator="containsText" text="Anzahl Stunden II">
      <formula>NOT(ISERROR(SEARCH("Anzahl Stunden II",A28)))</formula>
    </cfRule>
  </conditionalFormatting>
  <conditionalFormatting sqref="A24:B24">
    <cfRule type="expression" dxfId="149" priority="45">
      <formula>$G$11="ja"</formula>
    </cfRule>
  </conditionalFormatting>
  <conditionalFormatting sqref="A25:B25">
    <cfRule type="expression" dxfId="148" priority="39">
      <formula>$P$10&gt;0.1</formula>
    </cfRule>
  </conditionalFormatting>
  <conditionalFormatting sqref="A50:B50">
    <cfRule type="expression" dxfId="147" priority="171">
      <formula>$G$11="ja"</formula>
    </cfRule>
  </conditionalFormatting>
  <conditionalFormatting sqref="A60:Q64">
    <cfRule type="expression" dxfId="146" priority="59">
      <formula>$G$12="nein"</formula>
    </cfRule>
  </conditionalFormatting>
  <conditionalFormatting sqref="B25">
    <cfRule type="beginsWith" dxfId="145" priority="18" operator="beginsWith" text="Anz">
      <formula>LEFT(B25,LEN("Anz"))="Anz"</formula>
    </cfRule>
  </conditionalFormatting>
  <conditionalFormatting sqref="B26">
    <cfRule type="containsText" dxfId="144" priority="36" operator="containsText" text="Std.">
      <formula>NOT(ISERROR(SEARCH("Std.",B26)))</formula>
    </cfRule>
    <cfRule type="containsText" dxfId="143" priority="37" operator="containsText" text="Std.">
      <formula>NOT(ISERROR(SEARCH("Std.",B26)))</formula>
    </cfRule>
    <cfRule type="containsText" dxfId="142" priority="38" operator="containsText" text="Std.">
      <formula>NOT(ISERROR(SEARCH("Std.",B26)))</formula>
    </cfRule>
  </conditionalFormatting>
  <conditionalFormatting sqref="B28">
    <cfRule type="containsText" dxfId="141" priority="33" operator="containsText" text="Std.">
      <formula>NOT(ISERROR(SEARCH("Std.",B28)))</formula>
    </cfRule>
    <cfRule type="containsText" dxfId="140" priority="34" operator="containsText" text="Std.">
      <formula>NOT(ISERROR(SEARCH("Std.",B28)))</formula>
    </cfRule>
    <cfRule type="containsText" dxfId="139" priority="35" operator="containsText" text="Std.">
      <formula>NOT(ISERROR(SEARCH("Std.",B28)))</formula>
    </cfRule>
  </conditionalFormatting>
  <conditionalFormatting sqref="C17">
    <cfRule type="expression" dxfId="138" priority="13">
      <formula>$A$17="13. Monatslohn"</formula>
    </cfRule>
  </conditionalFormatting>
  <conditionalFormatting sqref="C22:H22">
    <cfRule type="cellIs" dxfId="137" priority="10" operator="greaterThan">
      <formula>1</formula>
    </cfRule>
  </conditionalFormatting>
  <conditionalFormatting sqref="C23:H23 K23:P23">
    <cfRule type="expression" dxfId="136" priority="14">
      <formula>$B$23="CHF"</formula>
    </cfRule>
  </conditionalFormatting>
  <conditionalFormatting sqref="C24:H24 K24:P24">
    <cfRule type="expression" dxfId="135" priority="42">
      <formula>$G$11="ja"</formula>
    </cfRule>
  </conditionalFormatting>
  <conditionalFormatting sqref="C25:H25 K25:P25">
    <cfRule type="expression" dxfId="134" priority="4">
      <formula>$B$25="Anz."</formula>
    </cfRule>
  </conditionalFormatting>
  <conditionalFormatting sqref="C26:H26">
    <cfRule type="expression" dxfId="133" priority="9">
      <formula>$C$16="Stundenlohn"</formula>
    </cfRule>
    <cfRule type="expression" dxfId="132" priority="8">
      <formula>$G$12="ja"</formula>
    </cfRule>
  </conditionalFormatting>
  <conditionalFormatting sqref="C28:H28 K28:P28">
    <cfRule type="expression" dxfId="131" priority="43">
      <formula>$G$10="Ja"</formula>
    </cfRule>
  </conditionalFormatting>
  <conditionalFormatting sqref="C50:H50">
    <cfRule type="expression" dxfId="130" priority="146">
      <formula>C51&lt;-0.01</formula>
    </cfRule>
    <cfRule type="expression" dxfId="129" priority="145">
      <formula>C51&gt;0.01</formula>
    </cfRule>
  </conditionalFormatting>
  <conditionalFormatting sqref="C51:H51">
    <cfRule type="cellIs" dxfId="128" priority="160" operator="greaterThan">
      <formula>0.04</formula>
    </cfRule>
    <cfRule type="cellIs" dxfId="127" priority="159" operator="lessThan">
      <formula>-0.04</formula>
    </cfRule>
  </conditionalFormatting>
  <conditionalFormatting sqref="G1">
    <cfRule type="containsText" dxfId="126" priority="101" operator="containsText" text="Achtung Fehler">
      <formula>NOT(ISERROR(SEARCH("Achtung Fehler",G1)))</formula>
    </cfRule>
  </conditionalFormatting>
  <conditionalFormatting sqref="G10">
    <cfRule type="expression" dxfId="125" priority="12">
      <formula>$C$16="Stundenlohn"</formula>
    </cfRule>
  </conditionalFormatting>
  <conditionalFormatting sqref="H17:H18">
    <cfRule type="beginsWith" dxfId="124" priority="188" operator="beginsWith" text="ACHTUNG">
      <formula>LEFT(H17,LEN("ACHTUNG"))="ACHTUNG"</formula>
    </cfRule>
  </conditionalFormatting>
  <conditionalFormatting sqref="I25">
    <cfRule type="beginsWith" dxfId="123" priority="2" operator="beginsWith" text="Anz">
      <formula>LEFT(I25,LEN("Anz"))="Anz"</formula>
    </cfRule>
  </conditionalFormatting>
  <conditionalFormatting sqref="I26">
    <cfRule type="containsText" dxfId="122" priority="29" operator="containsText" text="Anzahl Stunden Standard">
      <formula>NOT(ISERROR(SEARCH("Anzahl Stunden Standard",I26)))</formula>
    </cfRule>
    <cfRule type="containsText" dxfId="121" priority="26" operator="containsText" text="Anzahl Stunden">
      <formula>NOT(ISERROR(SEARCH("Anzahl Stunden",I26)))</formula>
    </cfRule>
    <cfRule type="containsText" dxfId="120" priority="30" operator="containsText" text="Anzahl Stunden I">
      <formula>NOT(ISERROR(SEARCH("Anzahl Stunden I",I26)))</formula>
    </cfRule>
  </conditionalFormatting>
  <conditionalFormatting sqref="I28">
    <cfRule type="containsText" dxfId="119" priority="28" operator="containsText" text="Anzahl Stunden II">
      <formula>NOT(ISERROR(SEARCH("Anzahl Stunden II",I28)))</formula>
    </cfRule>
    <cfRule type="containsText" dxfId="118" priority="27" operator="containsText" text="Anzahl Stunden Quali B">
      <formula>NOT(ISERROR(SEARCH("Anzahl Stunden Quali B",I28)))</formula>
    </cfRule>
  </conditionalFormatting>
  <conditionalFormatting sqref="I24:J24">
    <cfRule type="expression" dxfId="117" priority="32">
      <formula>$G$11="ja"</formula>
    </cfRule>
  </conditionalFormatting>
  <conditionalFormatting sqref="I25:J25">
    <cfRule type="expression" dxfId="116" priority="3">
      <formula>$P$10&gt;0.1</formula>
    </cfRule>
  </conditionalFormatting>
  <conditionalFormatting sqref="I50:J50">
    <cfRule type="expression" dxfId="115" priority="123">
      <formula>$G$11="ja"</formula>
    </cfRule>
  </conditionalFormatting>
  <conditionalFormatting sqref="J25">
    <cfRule type="beginsWith" dxfId="114" priority="1" operator="beginsWith" text="Anz">
      <formula>LEFT(J25,LEN("Anz"))="Anz"</formula>
    </cfRule>
  </conditionalFormatting>
  <conditionalFormatting sqref="J26">
    <cfRule type="containsText" dxfId="113" priority="25" operator="containsText" text="Std.">
      <formula>NOT(ISERROR(SEARCH("Std.",J26)))</formula>
    </cfRule>
    <cfRule type="containsText" dxfId="112" priority="24" operator="containsText" text="Std.">
      <formula>NOT(ISERROR(SEARCH("Std.",J26)))</formula>
    </cfRule>
    <cfRule type="containsText" dxfId="111" priority="23" operator="containsText" text="Std.">
      <formula>NOT(ISERROR(SEARCH("Std.",J26)))</formula>
    </cfRule>
  </conditionalFormatting>
  <conditionalFormatting sqref="J28">
    <cfRule type="containsText" dxfId="110" priority="20" operator="containsText" text="Std.">
      <formula>NOT(ISERROR(SEARCH("Std.",J28)))</formula>
    </cfRule>
    <cfRule type="containsText" dxfId="109" priority="21" operator="containsText" text="Std.">
      <formula>NOT(ISERROR(SEARCH("Std.",J28)))</formula>
    </cfRule>
    <cfRule type="containsText" dxfId="108" priority="22" operator="containsText" text="Std.">
      <formula>NOT(ISERROR(SEARCH("Std.",J28)))</formula>
    </cfRule>
  </conditionalFormatting>
  <conditionalFormatting sqref="K22:P22">
    <cfRule type="cellIs" dxfId="107" priority="11" operator="greaterThan">
      <formula>1</formula>
    </cfRule>
  </conditionalFormatting>
  <conditionalFormatting sqref="K26:P26">
    <cfRule type="expression" dxfId="106" priority="40">
      <formula>$G$12="ja"</formula>
    </cfRule>
    <cfRule type="expression" dxfId="105" priority="41">
      <formula>$C$16="Stundenlohn"</formula>
    </cfRule>
  </conditionalFormatting>
  <conditionalFormatting sqref="K50:P50">
    <cfRule type="expression" dxfId="104" priority="133">
      <formula>K51&gt;0.01</formula>
    </cfRule>
    <cfRule type="expression" dxfId="103" priority="134">
      <formula>K51&lt;-0.01</formula>
    </cfRule>
  </conditionalFormatting>
  <conditionalFormatting sqref="K51:P51">
    <cfRule type="cellIs" dxfId="102" priority="155" operator="lessThan">
      <formula>-0.04</formula>
    </cfRule>
    <cfRule type="cellIs" dxfId="101" priority="156" operator="greaterThan">
      <formula>0.04</formula>
    </cfRule>
  </conditionalFormatting>
  <conditionalFormatting sqref="L7">
    <cfRule type="expression" dxfId="100" priority="55">
      <formula>$C$16="Bitte auswählen"</formula>
    </cfRule>
  </conditionalFormatting>
  <conditionalFormatting sqref="L12">
    <cfRule type="expression" dxfId="99" priority="58">
      <formula>$G$10="ja"</formula>
    </cfRule>
  </conditionalFormatting>
  <conditionalFormatting sqref="M8">
    <cfRule type="expression" dxfId="98" priority="54">
      <formula>$C$16="Stundenlohn"</formula>
    </cfRule>
    <cfRule type="expression" dxfId="97" priority="53">
      <formula>$C$16="Monatslohn"</formula>
    </cfRule>
  </conditionalFormatting>
  <conditionalFormatting sqref="M13">
    <cfRule type="expression" dxfId="96" priority="56">
      <formula>$G$10="ja"</formula>
    </cfRule>
  </conditionalFormatting>
  <conditionalFormatting sqref="P1">
    <cfRule type="containsText" dxfId="95" priority="100" operator="containsText" text="Achtung Fehler">
      <formula>NOT(ISERROR(SEARCH("Achtung Fehler",P1)))</formula>
    </cfRule>
  </conditionalFormatting>
  <conditionalFormatting sqref="P7">
    <cfRule type="expression" dxfId="94" priority="57">
      <formula>$N$7="1 Stunde Bereitschaft ="</formula>
    </cfRule>
  </conditionalFormatting>
  <conditionalFormatting sqref="P10">
    <cfRule type="expression" dxfId="93" priority="52">
      <formula>$Q$10="Stunden"</formula>
    </cfRule>
  </conditionalFormatting>
  <conditionalFormatting sqref="S20">
    <cfRule type="beginsWith" dxfId="92" priority="5" operator="beginsWith" text="ACHTUNG">
      <formula>LEFT(S20,LEN("ACHTUNG"))="ACHTUNG"</formula>
    </cfRule>
    <cfRule type="beginsWith" dxfId="91" priority="7" operator="beginsWith" text="Vereinfachtes">
      <formula>LEFT(S20,LEN("Vereinfachtes"))="Vereinfachtes"</formula>
    </cfRule>
    <cfRule type="beginsWith" dxfId="90" priority="6" operator="beginsWith" text="Hinweis">
      <formula>LEFT(S20,LEN("Hinweis"))="Hinweis"</formula>
    </cfRule>
  </conditionalFormatting>
  <conditionalFormatting sqref="S24">
    <cfRule type="beginsWith" dxfId="89" priority="95" operator="beginsWith" text="ACHTUNG">
      <formula>LEFT(S24,LEN("ACHTUNG"))="ACHTUNG"</formula>
    </cfRule>
  </conditionalFormatting>
  <conditionalFormatting sqref="S28">
    <cfRule type="beginsWith" dxfId="88" priority="94" operator="beginsWith" text="ACHTUNG">
      <formula>LEFT(S28,LEN("ACHTUNG"))="ACHTUNG"</formula>
    </cfRule>
  </conditionalFormatting>
  <conditionalFormatting sqref="S36:S37">
    <cfRule type="beginsWith" dxfId="87" priority="99" operator="beginsWith" text="ACHTUNG">
      <formula>LEFT(S36,LEN("ACHTUNG"))="ACHTUNG"</formula>
    </cfRule>
  </conditionalFormatting>
  <dataValidations count="7">
    <dataValidation type="list" allowBlank="1" showInputMessage="1" showErrorMessage="1" sqref="F9:G9" xr:uid="{00000000-0002-0000-0800-000000000000}">
      <formula1>$AB$6:$AB$19</formula1>
    </dataValidation>
    <dataValidation type="list" allowBlank="1" showInputMessage="1" showErrorMessage="1" sqref="G10" xr:uid="{00000000-0002-0000-0800-000001000000}">
      <formula1>$AC$13:$AC$14</formula1>
    </dataValidation>
    <dataValidation type="list" allowBlank="1" showInputMessage="1" showErrorMessage="1" sqref="C17" xr:uid="{00000000-0002-0000-0800-000002000000}">
      <formula1>$Y$11:$Y$12</formula1>
    </dataValidation>
    <dataValidation type="list" allowBlank="1" showInputMessage="1" showErrorMessage="1" sqref="C10" xr:uid="{D6822C31-B09C-4472-A5E9-E48CDB8F8E5A}">
      <formula1>$X$6:$X$8</formula1>
    </dataValidation>
    <dataValidation type="list" allowBlank="1" showInputMessage="1" showErrorMessage="1" sqref="C16" xr:uid="{00000000-0002-0000-0800-000004000000}">
      <formula1>$X$11:$X$13</formula1>
    </dataValidation>
    <dataValidation type="list" allowBlank="1" showInputMessage="1" showErrorMessage="1" sqref="G11:G12" xr:uid="{00000000-0002-0000-0800-000005000000}">
      <formula1>$AH$6:$AH$8</formula1>
    </dataValidation>
    <dataValidation type="list" allowBlank="1" showInputMessage="1" showErrorMessage="1" sqref="G13" xr:uid="{00000000-0002-0000-0800-000006000000}">
      <formula1>$Y$6:$Y$8</formula1>
    </dataValidation>
  </dataValidations>
  <hyperlinks>
    <hyperlink ref="G1:H3" location="Fehler8" display="Fehler8" xr:uid="{00000000-0004-0000-0800-000000000000}"/>
    <hyperlink ref="P1:Q3" location="Fehler8" display="Fehler8" xr:uid="{00000000-0004-0000-0800-000001000000}"/>
  </hyperlinks>
  <pageMargins left="0.39370078740157483" right="0.39370078740157483" top="0.78740157480314965" bottom="0.39370078740157483" header="0.15748031496062992" footer="0.19685039370078741"/>
  <pageSetup paperSize="9" scale="85" fitToWidth="0" pageOrder="overThenDown" orientation="portrait" r:id="rId1"/>
  <headerFooter>
    <oddHeader>&amp;R&amp;"Arial,Standard"&amp;9Koordinationsstelle &amp;"MS Sans Serif,Standard"&amp;10
&amp;"Arial,Fett"&amp;9Berner Modell&amp;"Arial,Standard" - freie Lebensgestaltung von Menschen mit Behinderungen
HelpLine 031 300 33 70 / info@bernermodell.ch</oddHeader>
    <oddFooter>&amp;L&amp;"Arial,Standard"&amp;9Seite &amp;P von &amp;N&amp;R&amp;"Arial,Standard"&amp;9Lohnprogramm V7.0</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EE28E16D51AE445BDFA9AAF9F319DB6" ma:contentTypeVersion="15" ma:contentTypeDescription="Ein neues Dokument erstellen." ma:contentTypeScope="" ma:versionID="64653cec6aaf404afa7b65892e5bed2b">
  <xsd:schema xmlns:xsd="http://www.w3.org/2001/XMLSchema" xmlns:xs="http://www.w3.org/2001/XMLSchema" xmlns:p="http://schemas.microsoft.com/office/2006/metadata/properties" xmlns:ns2="4a159a44-5981-43ba-a876-9650506b5788" xmlns:ns3="db42a3b0-9bd5-466b-a98d-a66d7ec49768" targetNamespace="http://schemas.microsoft.com/office/2006/metadata/properties" ma:root="true" ma:fieldsID="1b3da310cb8fb4bda52e2896d6a0cf7c" ns2:_="" ns3:_="">
    <xsd:import namespace="4a159a44-5981-43ba-a876-9650506b5788"/>
    <xsd:import namespace="db42a3b0-9bd5-466b-a98d-a66d7ec49768"/>
    <xsd:element name="properties">
      <xsd:complexType>
        <xsd:sequence>
          <xsd:element name="documentManagement">
            <xsd:complexType>
              <xsd:all>
                <xsd:element ref="ns2:Status" minOccurs="0"/>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ObjectDetectorVersion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159a44-5981-43ba-a876-9650506b5788" elementFormDefault="qualified">
    <xsd:import namespace="http://schemas.microsoft.com/office/2006/documentManagement/types"/>
    <xsd:import namespace="http://schemas.microsoft.com/office/infopath/2007/PartnerControls"/>
    <xsd:element name="Status" ma:index="8" nillable="true" ma:displayName="Status" ma:format="Dropdown" ma:internalName="Status">
      <xsd:simpleType>
        <xsd:restriction base="dms:Choice">
          <xsd:enumeration value="1 In Bearbeitung"/>
          <xsd:enumeration value="2 Erstellt"/>
          <xsd:enumeration value="3 Zur Kontrolle bei Kanton"/>
          <xsd:enumeration value="4 Von Kanton genehmigt"/>
          <xsd:enumeration value="5 Versand vorbereitet"/>
          <xsd:enumeration value="6 Versandt an LB"/>
          <xsd:enumeration value="9 Fehlerhaft"/>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Bildmarkierungen" ma:readOnly="false" ma:fieldId="{5cf76f15-5ced-4ddc-b409-7134ff3c332f}" ma:taxonomyMulti="true" ma:sspId="e8e7aa3a-a37e-463a-ab31-b94c8eee428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b42a3b0-9bd5-466b-a98d-a66d7ec49768"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4c0b000-0df1-4562-94bb-2bf770033ab8}" ma:internalName="TaxCatchAll" ma:showField="CatchAllData" ma:web="db42a3b0-9bd5-466b-a98d-a66d7ec497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159a44-5981-43ba-a876-9650506b5788">
      <Terms xmlns="http://schemas.microsoft.com/office/infopath/2007/PartnerControls"/>
    </lcf76f155ced4ddcb4097134ff3c332f>
    <TaxCatchAll xmlns="db42a3b0-9bd5-466b-a98d-a66d7ec49768" xsi:nil="true"/>
    <Status xmlns="4a159a44-5981-43ba-a876-9650506b5788" xsi:nil="true"/>
  </documentManagement>
</p:properties>
</file>

<file path=customXml/itemProps1.xml><?xml version="1.0" encoding="utf-8"?>
<ds:datastoreItem xmlns:ds="http://schemas.openxmlformats.org/officeDocument/2006/customXml" ds:itemID="{EFC9C0EB-372E-48C8-9823-FBCEE796DBA4}"/>
</file>

<file path=customXml/itemProps2.xml><?xml version="1.0" encoding="utf-8"?>
<ds:datastoreItem xmlns:ds="http://schemas.openxmlformats.org/officeDocument/2006/customXml" ds:itemID="{4E3177B8-67DB-44D7-8A22-0043F5C17F5A}">
  <ds:schemaRefs>
    <ds:schemaRef ds:uri="http://schemas.microsoft.com/sharepoint/v3/contenttype/forms"/>
  </ds:schemaRefs>
</ds:datastoreItem>
</file>

<file path=customXml/itemProps3.xml><?xml version="1.0" encoding="utf-8"?>
<ds:datastoreItem xmlns:ds="http://schemas.openxmlformats.org/officeDocument/2006/customXml" ds:itemID="{422CB667-6DD8-437A-915D-4CAF581B0462}">
  <ds:schemaRefs>
    <ds:schemaRef ds:uri="http://purl.org/dc/terms/"/>
    <ds:schemaRef ds:uri="http://schemas.openxmlformats.org/package/2006/metadata/core-properties"/>
    <ds:schemaRef ds:uri="http://www.w3.org/XML/1998/namespace"/>
    <ds:schemaRef ds:uri="http://schemas.microsoft.com/office/2006/metadata/properties"/>
    <ds:schemaRef ds:uri="e38c38c6-8d40-440b-9b85-500f548f7064"/>
    <ds:schemaRef ds:uri="http://purl.org/dc/dcmitype/"/>
    <ds:schemaRef ds:uri="http://schemas.microsoft.com/office/2006/documentManagement/types"/>
    <ds:schemaRef ds:uri="http://schemas.microsoft.com/office/infopath/2007/PartnerControls"/>
    <ds:schemaRef ds:uri="e7104e8c-655e-4d94-82fc-6097beb82c4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22</vt:i4>
      </vt:variant>
    </vt:vector>
  </HeadingPairs>
  <TitlesOfParts>
    <vt:vector size="43" baseType="lpstr">
      <vt:lpstr>Intro</vt:lpstr>
      <vt:lpstr>AP 1</vt:lpstr>
      <vt:lpstr>AP 2</vt:lpstr>
      <vt:lpstr>AP 3</vt:lpstr>
      <vt:lpstr>AP 4</vt:lpstr>
      <vt:lpstr>AP 5</vt:lpstr>
      <vt:lpstr>AP 6</vt:lpstr>
      <vt:lpstr>AP 7</vt:lpstr>
      <vt:lpstr>AP 8</vt:lpstr>
      <vt:lpstr>AP 9</vt:lpstr>
      <vt:lpstr>Lohnbescheinigung (vereinfacht)</vt:lpstr>
      <vt:lpstr>Lohnbescheinigung (ordentlich)</vt:lpstr>
      <vt:lpstr>LA 1</vt:lpstr>
      <vt:lpstr>LA 2</vt:lpstr>
      <vt:lpstr>LA 3</vt:lpstr>
      <vt:lpstr>LA 4</vt:lpstr>
      <vt:lpstr>LA 5</vt:lpstr>
      <vt:lpstr>LA 6</vt:lpstr>
      <vt:lpstr>LA 7</vt:lpstr>
      <vt:lpstr>LA 8</vt:lpstr>
      <vt:lpstr>LA 9</vt:lpstr>
      <vt:lpstr>'AP 1'!Druckbereich</vt:lpstr>
      <vt:lpstr>'AP 2'!Druckbereich</vt:lpstr>
      <vt:lpstr>'AP 3'!Druckbereich</vt:lpstr>
      <vt:lpstr>'AP 4'!Druckbereich</vt:lpstr>
      <vt:lpstr>'AP 5'!Druckbereich</vt:lpstr>
      <vt:lpstr>'AP 6'!Druckbereich</vt:lpstr>
      <vt:lpstr>'AP 7'!Druckbereich</vt:lpstr>
      <vt:lpstr>'AP 8'!Druckbereich</vt:lpstr>
      <vt:lpstr>'AP 9'!Druckbereich</vt:lpstr>
      <vt:lpstr>Intro!Druckbereich</vt:lpstr>
      <vt:lpstr>'Lohnbescheinigung (ordentlich)'!Druckbereich</vt:lpstr>
      <vt:lpstr>'Lohnbescheinigung (vereinfacht)'!Druckbereich</vt:lpstr>
      <vt:lpstr>Fehler</vt:lpstr>
      <vt:lpstr>Fehler1</vt:lpstr>
      <vt:lpstr>Fehler2</vt:lpstr>
      <vt:lpstr>Fehler3</vt:lpstr>
      <vt:lpstr>Fehler4</vt:lpstr>
      <vt:lpstr>Fehler5</vt:lpstr>
      <vt:lpstr>Fehler6</vt:lpstr>
      <vt:lpstr>Fehler7</vt:lpstr>
      <vt:lpstr>Fehler8</vt:lpstr>
      <vt:lpstr>Fehler9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Dominique Hirschi</dc:creator>
  <cp:keywords/>
  <dc:description/>
  <cp:lastModifiedBy>Klopfstein Tanja</cp:lastModifiedBy>
  <cp:revision/>
  <cp:lastPrinted>2023-12-08T14:33:48Z</cp:lastPrinted>
  <dcterms:created xsi:type="dcterms:W3CDTF">1999-03-04T07:32:27Z</dcterms:created>
  <dcterms:modified xsi:type="dcterms:W3CDTF">2023-12-22T09:02:40Z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0x0101006EE28E16D51AE445BDFA9AAF9F319DB6</vt:lpwstr>
  </property>
  <property fmtid="{D5CDD505-2E9C-101B-9397-08002B2CF9AE}" pid="3" name="Order">
    <vt:r8>100</vt:r8>
  </property>
  <property fmtid="{D5CDD505-2E9C-101B-9397-08002B2CF9AE}" pid="4" name="_ExtendedDescription">
    <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TriggerFlowInfo">
    <vt:lpwstr/>
  </property>
  <property fmtid="{D5CDD505-2E9C-101B-9397-08002B2CF9AE}" pid="9" name="xd_Signature">
    <vt:bool>false</vt:bool>
  </property>
  <property fmtid="{D5CDD505-2E9C-101B-9397-08002B2CF9AE}" pid="10" name="MediaServiceImageTags">
    <vt:lpwstr/>
  </property>
</Properties>
</file>