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a8ha-cfs-user.infra.be.ch\a8ha-cfs-user\UserHomes\m0f5\Z_Systems\RedirectedFolders\Documents\"/>
    </mc:Choice>
  </mc:AlternateContent>
  <xr:revisionPtr revIDLastSave="0" documentId="8_{A5A0E446-15D9-4A33-9802-6D62A8D355FB}" xr6:coauthVersionLast="47" xr6:coauthVersionMax="47" xr10:uidLastSave="{00000000-0000-0000-0000-000000000000}"/>
  <bookViews>
    <workbookView xWindow="-110" yWindow="-110" windowWidth="19420" windowHeight="10300" tabRatio="877" firstSheet="1" activeTab="2" xr2:uid="{00000000-000D-0000-FFFF-FFFF00000000}"/>
  </bookViews>
  <sheets>
    <sheet name="Grundlagen" sheetId="62" state="hidden" r:id="rId1"/>
    <sheet name="Intro" sheetId="61" r:id="rId2"/>
    <sheet name="PA 1" sheetId="35" r:id="rId3"/>
    <sheet name="PA 2" sheetId="57" r:id="rId4"/>
    <sheet name="PA 3" sheetId="58" r:id="rId5"/>
    <sheet name="PA 4" sheetId="59" r:id="rId6"/>
    <sheet name="PA 5" sheetId="60" r:id="rId7"/>
    <sheet name="PA 6" sheetId="55" r:id="rId8"/>
    <sheet name="PA 7" sheetId="56" r:id="rId9"/>
    <sheet name="PA 8" sheetId="53" r:id="rId10"/>
    <sheet name="PA 9" sheetId="54" r:id="rId11"/>
    <sheet name="Attestation du salaire (simpl.)" sheetId="26" r:id="rId12"/>
    <sheet name="Attestation du salaire (ord.)" sheetId="34" r:id="rId13"/>
    <sheet name="CS 1" sheetId="44" r:id="rId14"/>
    <sheet name="CS 2" sheetId="45" r:id="rId15"/>
    <sheet name="CS 3" sheetId="46" r:id="rId16"/>
    <sheet name="CS 4" sheetId="47" r:id="rId17"/>
    <sheet name="CS 5" sheetId="48" r:id="rId18"/>
    <sheet name="CS 6" sheetId="49" r:id="rId19"/>
    <sheet name="CS 7" sheetId="50" r:id="rId20"/>
    <sheet name="CS 8" sheetId="51" r:id="rId21"/>
    <sheet name="CS 9" sheetId="52" r:id="rId22"/>
  </sheets>
  <definedNames>
    <definedName name="_xlnm.Print_Area" localSheetId="12">'Attestation du salaire (ord.)'!$A$1:$J$60</definedName>
    <definedName name="_xlnm.Print_Area" localSheetId="11">'Attestation du salaire (simpl.)'!$A$1:$I$55</definedName>
    <definedName name="_xlnm.Print_Area" localSheetId="1">Intro!$A$1:$K$49</definedName>
    <definedName name="_xlnm.Print_Area" localSheetId="2">'PA 1'!$A$1:$Q$64</definedName>
    <definedName name="_xlnm.Print_Area" localSheetId="3">'PA 2'!$A$1:$Q$64</definedName>
    <definedName name="_xlnm.Print_Area" localSheetId="4">'PA 3'!$A$1:$Q$64</definedName>
    <definedName name="_xlnm.Print_Area" localSheetId="5">'PA 4'!$A$1:$Q$64</definedName>
    <definedName name="_xlnm.Print_Area" localSheetId="6">'PA 5'!$A$1:$Q$64</definedName>
    <definedName name="_xlnm.Print_Area" localSheetId="7">'PA 6'!$A$1:$Q$64</definedName>
    <definedName name="_xlnm.Print_Area" localSheetId="8">'PA 7'!$A$1:$Q$64</definedName>
    <definedName name="_xlnm.Print_Area" localSheetId="9">'PA 8'!$A$1:$Q$64</definedName>
    <definedName name="_xlnm.Print_Area" localSheetId="10">'PA 9'!$A$1:$Q$64</definedName>
    <definedName name="Fehler">'PA 1'!$S$18</definedName>
    <definedName name="Fehler1">'PA 1'!$S$18</definedName>
    <definedName name="Fehler2">'PA 2'!$S$18</definedName>
    <definedName name="Fehler3">'PA 3'!$S$18</definedName>
    <definedName name="Fehler4">'PA 4'!$S$18</definedName>
    <definedName name="Fehler5">'PA 5'!$S$18</definedName>
    <definedName name="Fehler6">'PA 6'!$S$18</definedName>
    <definedName name="Fehler7">'PA 7'!$S$18</definedName>
    <definedName name="Fehler8">'PA 8'!$S$18</definedName>
    <definedName name="Fehler9">'PA 9'!$S$18</definedName>
    <definedName name="Geschlecht" localSheetId="14">#REF!</definedName>
    <definedName name="Geschlecht" localSheetId="16">#REF!</definedName>
    <definedName name="Geschlecht" localSheetId="18">#REF!</definedName>
    <definedName name="Geschlecht" localSheetId="20">#REF!</definedName>
    <definedName name="Geschlecht" localSheetId="21">#REF!</definedName>
    <definedName name="Geschlecht" localSheetId="3">#REF!</definedName>
    <definedName name="Geschlecht" localSheetId="5">#REF!</definedName>
    <definedName name="Geschlecht" localSheetId="6">#REF!</definedName>
    <definedName name="Geschlecht" localSheetId="7">#REF!</definedName>
    <definedName name="Geschlecht" localSheetId="8">#REF!</definedName>
    <definedName name="Geschlecht" localSheetId="9">#REF!</definedName>
    <definedName name="Geschlecht" localSheetId="10">#REF!</definedName>
    <definedName name="Geschlecht">#REF!</definedName>
    <definedName name="ja" localSheetId="2">#REF!</definedName>
    <definedName name="ja" localSheetId="3">#REF!</definedName>
    <definedName name="ja" localSheetId="4">#REF!</definedName>
    <definedName name="ja" localSheetId="5">#REF!</definedName>
    <definedName name="ja" localSheetId="6">#REF!</definedName>
    <definedName name="ja" localSheetId="7">#REF!</definedName>
    <definedName name="ja" localSheetId="8">#REF!</definedName>
    <definedName name="ja" localSheetId="9">#REF!</definedName>
    <definedName name="ja" localSheetId="10">#REF!</definedName>
    <definedName name="m_w" localSheetId="12">#REF!</definedName>
    <definedName name="m_w" localSheetId="14">#REF!</definedName>
    <definedName name="m_w" localSheetId="16">#REF!</definedName>
    <definedName name="m_w" localSheetId="18">#REF!</definedName>
    <definedName name="m_w" localSheetId="20">#REF!</definedName>
    <definedName name="m_w" localSheetId="21">#REF!</definedName>
    <definedName name="m_w" localSheetId="2">#REF!</definedName>
    <definedName name="m_w" localSheetId="3">#REF!</definedName>
    <definedName name="m_w" localSheetId="4">#REF!</definedName>
    <definedName name="m_w" localSheetId="5">#REF!</definedName>
    <definedName name="m_w" localSheetId="6">#REF!</definedName>
    <definedName name="m_w" localSheetId="7">#REF!</definedName>
    <definedName name="m_w" localSheetId="8">#REF!</definedName>
    <definedName name="m_w" localSheetId="9">#REF!</definedName>
    <definedName name="m_w" localSheetId="10">#REF!</definedName>
    <definedName name="m_w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6" i="54" l="1"/>
  <c r="S31" i="54"/>
  <c r="S28" i="54"/>
  <c r="S24" i="54"/>
  <c r="S20" i="54"/>
  <c r="S36" i="53"/>
  <c r="S31" i="53"/>
  <c r="S28" i="53"/>
  <c r="S24" i="53"/>
  <c r="S20" i="53"/>
  <c r="S36" i="56"/>
  <c r="S31" i="56"/>
  <c r="S28" i="56"/>
  <c r="S24" i="56"/>
  <c r="S20" i="56"/>
  <c r="S36" i="55"/>
  <c r="S31" i="55"/>
  <c r="S28" i="55"/>
  <c r="S24" i="55"/>
  <c r="S20" i="55"/>
  <c r="S36" i="60"/>
  <c r="S31" i="60"/>
  <c r="S28" i="60"/>
  <c r="S24" i="60"/>
  <c r="S20" i="60"/>
  <c r="S36" i="59"/>
  <c r="S31" i="59"/>
  <c r="S28" i="59"/>
  <c r="S24" i="59"/>
  <c r="S20" i="59"/>
  <c r="S36" i="58"/>
  <c r="S31" i="58"/>
  <c r="S28" i="58"/>
  <c r="S24" i="58"/>
  <c r="S20" i="58"/>
  <c r="S36" i="57"/>
  <c r="S31" i="57"/>
  <c r="S28" i="57"/>
  <c r="S24" i="57"/>
  <c r="S20" i="57"/>
  <c r="S28" i="35"/>
  <c r="S36" i="35"/>
  <c r="Q26" i="54"/>
  <c r="A26" i="54"/>
  <c r="I26" i="54" s="1"/>
  <c r="J26" i="54" s="1"/>
  <c r="Q26" i="53"/>
  <c r="A26" i="53"/>
  <c r="I26" i="53" s="1"/>
  <c r="J26" i="53" s="1"/>
  <c r="Q26" i="56"/>
  <c r="A26" i="56"/>
  <c r="I26" i="56" s="1"/>
  <c r="J26" i="56" s="1"/>
  <c r="Q26" i="55"/>
  <c r="A26" i="55"/>
  <c r="I26" i="55" s="1"/>
  <c r="J26" i="55" s="1"/>
  <c r="Q26" i="60"/>
  <c r="A26" i="60"/>
  <c r="I26" i="60" s="1"/>
  <c r="J26" i="60" s="1"/>
  <c r="Q26" i="59"/>
  <c r="A26" i="59"/>
  <c r="I26" i="59" s="1"/>
  <c r="J26" i="59" s="1"/>
  <c r="Q26" i="58"/>
  <c r="A26" i="58"/>
  <c r="I26" i="58" s="1"/>
  <c r="J26" i="58" s="1"/>
  <c r="Q26" i="57"/>
  <c r="A26" i="57"/>
  <c r="I26" i="57" s="1"/>
  <c r="J26" i="57" s="1"/>
  <c r="B26" i="54" l="1"/>
  <c r="B26" i="53"/>
  <c r="B26" i="56"/>
  <c r="B26" i="55"/>
  <c r="B26" i="60"/>
  <c r="B26" i="59"/>
  <c r="B26" i="58"/>
  <c r="B26" i="57"/>
  <c r="P22" i="54" l="1"/>
  <c r="O22" i="54"/>
  <c r="N22" i="54"/>
  <c r="M22" i="54"/>
  <c r="L22" i="54"/>
  <c r="K22" i="54"/>
  <c r="H22" i="54"/>
  <c r="G22" i="54"/>
  <c r="F22" i="54"/>
  <c r="E22" i="54"/>
  <c r="D22" i="54"/>
  <c r="C22" i="54"/>
  <c r="A22" i="54"/>
  <c r="B22" i="54" s="1"/>
  <c r="C21" i="54"/>
  <c r="D21" i="54" s="1"/>
  <c r="E21" i="54" s="1"/>
  <c r="F21" i="54" s="1"/>
  <c r="G21" i="54" s="1"/>
  <c r="H21" i="54" s="1"/>
  <c r="K21" i="54" s="1"/>
  <c r="L21" i="54" s="1"/>
  <c r="M21" i="54" s="1"/>
  <c r="N21" i="54" s="1"/>
  <c r="O21" i="54" s="1"/>
  <c r="P21" i="54" s="1"/>
  <c r="W21" i="54"/>
  <c r="I19" i="54"/>
  <c r="P22" i="53"/>
  <c r="O22" i="53"/>
  <c r="N22" i="53"/>
  <c r="M22" i="53"/>
  <c r="L22" i="53"/>
  <c r="K22" i="53"/>
  <c r="H22" i="53"/>
  <c r="G22" i="53"/>
  <c r="F22" i="53"/>
  <c r="E22" i="53"/>
  <c r="D22" i="53"/>
  <c r="C22" i="53"/>
  <c r="B22" i="53"/>
  <c r="A22" i="53"/>
  <c r="I22" i="53" s="1"/>
  <c r="J22" i="53" s="1"/>
  <c r="C21" i="53"/>
  <c r="W21" i="53"/>
  <c r="I19" i="53"/>
  <c r="P22" i="56"/>
  <c r="O22" i="56"/>
  <c r="N22" i="56"/>
  <c r="M22" i="56"/>
  <c r="L22" i="56"/>
  <c r="K22" i="56"/>
  <c r="H22" i="56"/>
  <c r="G22" i="56"/>
  <c r="F22" i="56"/>
  <c r="E22" i="56"/>
  <c r="D22" i="56"/>
  <c r="C22" i="56"/>
  <c r="B22" i="56"/>
  <c r="A22" i="56"/>
  <c r="I22" i="56" s="1"/>
  <c r="J22" i="56" s="1"/>
  <c r="D21" i="56"/>
  <c r="E21" i="56" s="1"/>
  <c r="F21" i="56" s="1"/>
  <c r="G21" i="56" s="1"/>
  <c r="H21" i="56" s="1"/>
  <c r="K21" i="56" s="1"/>
  <c r="L21" i="56" s="1"/>
  <c r="M21" i="56" s="1"/>
  <c r="N21" i="56" s="1"/>
  <c r="O21" i="56" s="1"/>
  <c r="P21" i="56" s="1"/>
  <c r="C21" i="56"/>
  <c r="W21" i="56"/>
  <c r="I19" i="56"/>
  <c r="P22" i="55"/>
  <c r="O22" i="55"/>
  <c r="N22" i="55"/>
  <c r="M22" i="55"/>
  <c r="L22" i="55"/>
  <c r="K22" i="55"/>
  <c r="H22" i="55"/>
  <c r="G22" i="55"/>
  <c r="F22" i="55"/>
  <c r="E22" i="55"/>
  <c r="D22" i="55"/>
  <c r="C22" i="55"/>
  <c r="A22" i="55"/>
  <c r="I22" i="55" s="1"/>
  <c r="J22" i="55" s="1"/>
  <c r="D21" i="55"/>
  <c r="E21" i="55" s="1"/>
  <c r="F21" i="55" s="1"/>
  <c r="G21" i="55" s="1"/>
  <c r="H21" i="55" s="1"/>
  <c r="K21" i="55" s="1"/>
  <c r="L21" i="55" s="1"/>
  <c r="M21" i="55" s="1"/>
  <c r="N21" i="55" s="1"/>
  <c r="O21" i="55" s="1"/>
  <c r="P21" i="55" s="1"/>
  <c r="C21" i="55"/>
  <c r="W21" i="55"/>
  <c r="I19" i="55"/>
  <c r="P22" i="60"/>
  <c r="O22" i="60"/>
  <c r="N22" i="60"/>
  <c r="M22" i="60"/>
  <c r="L22" i="60"/>
  <c r="K22" i="60"/>
  <c r="H22" i="60"/>
  <c r="G22" i="60"/>
  <c r="F22" i="60"/>
  <c r="E22" i="60"/>
  <c r="D22" i="60"/>
  <c r="C22" i="60"/>
  <c r="A22" i="60"/>
  <c r="I22" i="60" s="1"/>
  <c r="J22" i="60" s="1"/>
  <c r="D21" i="60"/>
  <c r="E21" i="60" s="1"/>
  <c r="F21" i="60" s="1"/>
  <c r="G21" i="60" s="1"/>
  <c r="H21" i="60" s="1"/>
  <c r="K21" i="60" s="1"/>
  <c r="L21" i="60" s="1"/>
  <c r="M21" i="60" s="1"/>
  <c r="N21" i="60" s="1"/>
  <c r="O21" i="60" s="1"/>
  <c r="P21" i="60" s="1"/>
  <c r="C21" i="60"/>
  <c r="W21" i="60"/>
  <c r="I19" i="60"/>
  <c r="P22" i="59"/>
  <c r="O22" i="59"/>
  <c r="N22" i="59"/>
  <c r="M22" i="59"/>
  <c r="L22" i="59"/>
  <c r="K22" i="59"/>
  <c r="H22" i="59"/>
  <c r="G22" i="59"/>
  <c r="F22" i="59"/>
  <c r="E22" i="59"/>
  <c r="D22" i="59"/>
  <c r="C22" i="59"/>
  <c r="B22" i="59"/>
  <c r="A22" i="59"/>
  <c r="I22" i="59" s="1"/>
  <c r="J22" i="59" s="1"/>
  <c r="C21" i="59"/>
  <c r="W21" i="59"/>
  <c r="I19" i="59"/>
  <c r="P22" i="58"/>
  <c r="O22" i="58"/>
  <c r="N22" i="58"/>
  <c r="M22" i="58"/>
  <c r="L22" i="58"/>
  <c r="K22" i="58"/>
  <c r="H22" i="58"/>
  <c r="G22" i="58"/>
  <c r="F22" i="58"/>
  <c r="E22" i="58"/>
  <c r="D22" i="58"/>
  <c r="C22" i="58"/>
  <c r="A22" i="58"/>
  <c r="B22" i="58" s="1"/>
  <c r="C21" i="58"/>
  <c r="W21" i="58"/>
  <c r="I19" i="58"/>
  <c r="P22" i="57"/>
  <c r="O22" i="57"/>
  <c r="N22" i="57"/>
  <c r="M22" i="57"/>
  <c r="L22" i="57"/>
  <c r="K22" i="57"/>
  <c r="H22" i="57"/>
  <c r="G22" i="57"/>
  <c r="F22" i="57"/>
  <c r="E22" i="57"/>
  <c r="D22" i="57"/>
  <c r="C22" i="57"/>
  <c r="A22" i="57"/>
  <c r="B22" i="57" s="1"/>
  <c r="C21" i="57"/>
  <c r="W21" i="57"/>
  <c r="I19" i="57"/>
  <c r="D21" i="59" l="1"/>
  <c r="E21" i="59" s="1"/>
  <c r="F21" i="59" s="1"/>
  <c r="G21" i="59" s="1"/>
  <c r="H21" i="59" s="1"/>
  <c r="K21" i="59" s="1"/>
  <c r="L21" i="59" s="1"/>
  <c r="M21" i="59" s="1"/>
  <c r="N21" i="59" s="1"/>
  <c r="O21" i="59" s="1"/>
  <c r="P21" i="59" s="1"/>
  <c r="Q22" i="53"/>
  <c r="D21" i="58"/>
  <c r="E21" i="58" s="1"/>
  <c r="F21" i="58" s="1"/>
  <c r="G21" i="58" s="1"/>
  <c r="H21" i="58" s="1"/>
  <c r="K21" i="58" s="1"/>
  <c r="L21" i="58" s="1"/>
  <c r="M21" i="58" s="1"/>
  <c r="N21" i="58" s="1"/>
  <c r="O21" i="58" s="1"/>
  <c r="P21" i="58" s="1"/>
  <c r="D21" i="57"/>
  <c r="E21" i="57" s="1"/>
  <c r="F21" i="57" s="1"/>
  <c r="G21" i="57" s="1"/>
  <c r="H21" i="57" s="1"/>
  <c r="K21" i="57" s="1"/>
  <c r="L21" i="57" s="1"/>
  <c r="M21" i="57" s="1"/>
  <c r="N21" i="57" s="1"/>
  <c r="O21" i="57" s="1"/>
  <c r="P21" i="57" s="1"/>
  <c r="Q22" i="60"/>
  <c r="Q22" i="57"/>
  <c r="Q22" i="59"/>
  <c r="Q22" i="56"/>
  <c r="D21" i="53"/>
  <c r="E21" i="53" s="1"/>
  <c r="F21" i="53" s="1"/>
  <c r="G21" i="53" s="1"/>
  <c r="H21" i="53" s="1"/>
  <c r="K21" i="53" s="1"/>
  <c r="L21" i="53" s="1"/>
  <c r="M21" i="53" s="1"/>
  <c r="N21" i="53" s="1"/>
  <c r="O21" i="53" s="1"/>
  <c r="P21" i="53" s="1"/>
  <c r="Q22" i="58"/>
  <c r="Q22" i="55"/>
  <c r="Q22" i="54"/>
  <c r="I22" i="54"/>
  <c r="J22" i="54" s="1"/>
  <c r="B22" i="55"/>
  <c r="B22" i="60"/>
  <c r="I22" i="58"/>
  <c r="J22" i="58" s="1"/>
  <c r="I22" i="57"/>
  <c r="J22" i="57" s="1"/>
  <c r="S20" i="35"/>
  <c r="W21" i="35" s="1"/>
  <c r="Q64" i="54"/>
  <c r="P64" i="54"/>
  <c r="O64" i="54"/>
  <c r="N64" i="54"/>
  <c r="M64" i="54"/>
  <c r="L64" i="54"/>
  <c r="K64" i="54"/>
  <c r="J64" i="54"/>
  <c r="I64" i="54"/>
  <c r="H64" i="54"/>
  <c r="G64" i="54"/>
  <c r="F64" i="54"/>
  <c r="E64" i="54"/>
  <c r="D64" i="54"/>
  <c r="C64" i="54"/>
  <c r="A64" i="54"/>
  <c r="Q63" i="54"/>
  <c r="P63" i="54"/>
  <c r="O63" i="54"/>
  <c r="N63" i="54"/>
  <c r="M63" i="54"/>
  <c r="L63" i="54"/>
  <c r="K63" i="54"/>
  <c r="H63" i="54"/>
  <c r="G63" i="54"/>
  <c r="F63" i="54"/>
  <c r="E63" i="54"/>
  <c r="D63" i="54"/>
  <c r="C63" i="54"/>
  <c r="B63" i="54"/>
  <c r="J63" i="54" s="1"/>
  <c r="A63" i="54"/>
  <c r="I63" i="54" s="1"/>
  <c r="Q62" i="54"/>
  <c r="J62" i="54"/>
  <c r="B62" i="54"/>
  <c r="A62" i="54"/>
  <c r="I62" i="54" s="1"/>
  <c r="Q61" i="54"/>
  <c r="P61" i="54"/>
  <c r="O61" i="54"/>
  <c r="N61" i="54"/>
  <c r="M61" i="54"/>
  <c r="L61" i="54"/>
  <c r="K61" i="54"/>
  <c r="H61" i="54"/>
  <c r="G61" i="54"/>
  <c r="F61" i="54"/>
  <c r="E61" i="54"/>
  <c r="D61" i="54"/>
  <c r="C61" i="54"/>
  <c r="B61" i="54"/>
  <c r="J61" i="54" s="1"/>
  <c r="A61" i="54"/>
  <c r="I61" i="54" s="1"/>
  <c r="Q60" i="54"/>
  <c r="P60" i="54"/>
  <c r="O60" i="54"/>
  <c r="N60" i="54"/>
  <c r="M60" i="54"/>
  <c r="L60" i="54"/>
  <c r="K60" i="54"/>
  <c r="H60" i="54"/>
  <c r="G60" i="54"/>
  <c r="F60" i="54"/>
  <c r="E60" i="54"/>
  <c r="D60" i="54"/>
  <c r="C60" i="54"/>
  <c r="A60" i="54"/>
  <c r="I60" i="54" s="1"/>
  <c r="P58" i="54"/>
  <c r="O58" i="54"/>
  <c r="N58" i="54"/>
  <c r="M58" i="54"/>
  <c r="L58" i="54"/>
  <c r="K58" i="54"/>
  <c r="I58" i="54"/>
  <c r="H58" i="54"/>
  <c r="G58" i="54"/>
  <c r="F58" i="54"/>
  <c r="E58" i="54"/>
  <c r="D58" i="54"/>
  <c r="C58" i="54"/>
  <c r="I57" i="54"/>
  <c r="P56" i="54"/>
  <c r="O56" i="54"/>
  <c r="N56" i="54"/>
  <c r="M56" i="54"/>
  <c r="L56" i="54"/>
  <c r="K56" i="54"/>
  <c r="I56" i="54"/>
  <c r="H56" i="54"/>
  <c r="G56" i="54"/>
  <c r="F56" i="54"/>
  <c r="E56" i="54"/>
  <c r="D56" i="54"/>
  <c r="C56" i="54"/>
  <c r="I55" i="54"/>
  <c r="C55" i="54"/>
  <c r="Q54" i="54"/>
  <c r="Q52" i="54"/>
  <c r="I52" i="54"/>
  <c r="P51" i="54"/>
  <c r="O51" i="54"/>
  <c r="N51" i="54"/>
  <c r="M51" i="54"/>
  <c r="L51" i="54"/>
  <c r="K51" i="54"/>
  <c r="I51" i="54"/>
  <c r="H51" i="54"/>
  <c r="G51" i="54"/>
  <c r="F51" i="54"/>
  <c r="E51" i="54"/>
  <c r="D51" i="54"/>
  <c r="C51" i="54"/>
  <c r="Q50" i="54"/>
  <c r="I50" i="54"/>
  <c r="I49" i="54"/>
  <c r="P48" i="54"/>
  <c r="O48" i="54"/>
  <c r="N48" i="54"/>
  <c r="M48" i="54"/>
  <c r="L48" i="54"/>
  <c r="K48" i="54"/>
  <c r="I48" i="54"/>
  <c r="H48" i="54"/>
  <c r="G48" i="54"/>
  <c r="F48" i="54"/>
  <c r="E48" i="54"/>
  <c r="D48" i="54"/>
  <c r="C48" i="54"/>
  <c r="Q48" i="54" s="1"/>
  <c r="Q47" i="54"/>
  <c r="I47" i="54"/>
  <c r="Q46" i="54"/>
  <c r="A46" i="54"/>
  <c r="I46" i="54" s="1"/>
  <c r="J46" i="54" s="1"/>
  <c r="A45" i="54"/>
  <c r="B45" i="54" s="1"/>
  <c r="I44" i="54"/>
  <c r="A44" i="54"/>
  <c r="A43" i="54"/>
  <c r="I43" i="54" s="1"/>
  <c r="W42" i="54"/>
  <c r="A42" i="54"/>
  <c r="I42" i="54" s="1"/>
  <c r="I39" i="54"/>
  <c r="I38" i="54"/>
  <c r="I37" i="54"/>
  <c r="W37" i="54"/>
  <c r="Q36" i="54"/>
  <c r="I36" i="54"/>
  <c r="Q35" i="54"/>
  <c r="I35" i="54"/>
  <c r="Q34" i="54"/>
  <c r="I34" i="54"/>
  <c r="Q33" i="54"/>
  <c r="I33" i="54"/>
  <c r="Q32" i="54"/>
  <c r="I32" i="54"/>
  <c r="W32" i="54"/>
  <c r="Q31" i="54"/>
  <c r="I31" i="54"/>
  <c r="A30" i="54"/>
  <c r="I30" i="54" s="1"/>
  <c r="J30" i="54" s="1"/>
  <c r="C29" i="54"/>
  <c r="A29" i="54"/>
  <c r="B29" i="54" s="1"/>
  <c r="W29" i="54"/>
  <c r="Q28" i="54"/>
  <c r="B28" i="54"/>
  <c r="A28" i="54"/>
  <c r="I28" i="54" s="1"/>
  <c r="J28" i="54" s="1"/>
  <c r="C27" i="54"/>
  <c r="A27" i="54"/>
  <c r="I27" i="54" s="1"/>
  <c r="J27" i="54" s="1"/>
  <c r="Q25" i="54"/>
  <c r="A25" i="54"/>
  <c r="I25" i="54" s="1"/>
  <c r="W25" i="54"/>
  <c r="Q24" i="54"/>
  <c r="I24" i="54"/>
  <c r="A24" i="54"/>
  <c r="B24" i="54" s="1"/>
  <c r="J24" i="54" s="1"/>
  <c r="P23" i="54"/>
  <c r="O23" i="54"/>
  <c r="N23" i="54"/>
  <c r="M23" i="54"/>
  <c r="L23" i="54"/>
  <c r="K23" i="54"/>
  <c r="H23" i="54"/>
  <c r="G23" i="54"/>
  <c r="F23" i="54"/>
  <c r="E23" i="54"/>
  <c r="D23" i="54"/>
  <c r="C23" i="54"/>
  <c r="A23" i="54"/>
  <c r="B23" i="54" s="1"/>
  <c r="C69" i="54"/>
  <c r="F17" i="54"/>
  <c r="A17" i="54"/>
  <c r="D17" i="54" s="1"/>
  <c r="M15" i="54"/>
  <c r="I15" i="54"/>
  <c r="Y14" i="54"/>
  <c r="M14" i="54"/>
  <c r="L14" i="54"/>
  <c r="K14" i="54"/>
  <c r="I14" i="54"/>
  <c r="Z13" i="54"/>
  <c r="Y13" i="54"/>
  <c r="Y15" i="54" s="1"/>
  <c r="I13" i="54"/>
  <c r="Z12" i="54"/>
  <c r="Z14" i="54" s="1"/>
  <c r="Y12" i="54"/>
  <c r="M12" i="54"/>
  <c r="I12" i="54"/>
  <c r="Z11" i="54"/>
  <c r="Y11" i="54"/>
  <c r="AD10" i="54"/>
  <c r="Q10" i="54"/>
  <c r="N10" i="54"/>
  <c r="H10" i="54"/>
  <c r="I10" i="54" s="1"/>
  <c r="E10" i="54"/>
  <c r="AD9" i="54"/>
  <c r="Y9" i="54"/>
  <c r="T9" i="54"/>
  <c r="A41" i="54" s="1"/>
  <c r="I41" i="54" s="1"/>
  <c r="N9" i="54"/>
  <c r="L9" i="54"/>
  <c r="M9" i="54" s="1"/>
  <c r="M10" i="54" s="1"/>
  <c r="I9" i="54"/>
  <c r="AD8" i="54"/>
  <c r="T8" i="54"/>
  <c r="A40" i="54" s="1"/>
  <c r="I40" i="54" s="1"/>
  <c r="AD7" i="54"/>
  <c r="Z7" i="54"/>
  <c r="Q7" i="54"/>
  <c r="N7" i="54"/>
  <c r="M7" i="54"/>
  <c r="I7" i="54"/>
  <c r="AD6" i="54"/>
  <c r="AC6" i="54"/>
  <c r="Z6" i="54"/>
  <c r="N6" i="54"/>
  <c r="Q4" i="54"/>
  <c r="H4" i="54"/>
  <c r="Q64" i="53"/>
  <c r="P64" i="53"/>
  <c r="O64" i="53"/>
  <c r="N64" i="53"/>
  <c r="M64" i="53"/>
  <c r="L64" i="53"/>
  <c r="K64" i="53"/>
  <c r="J64" i="53"/>
  <c r="I64" i="53"/>
  <c r="H64" i="53"/>
  <c r="G64" i="53"/>
  <c r="F64" i="53"/>
  <c r="E64" i="53"/>
  <c r="D64" i="53"/>
  <c r="C64" i="53"/>
  <c r="A64" i="53"/>
  <c r="Q63" i="53"/>
  <c r="P63" i="53"/>
  <c r="O63" i="53"/>
  <c r="N63" i="53"/>
  <c r="M63" i="53"/>
  <c r="L63" i="53"/>
  <c r="K63" i="53"/>
  <c r="H63" i="53"/>
  <c r="G63" i="53"/>
  <c r="F63" i="53"/>
  <c r="E63" i="53"/>
  <c r="D63" i="53"/>
  <c r="C63" i="53"/>
  <c r="B63" i="53"/>
  <c r="J63" i="53" s="1"/>
  <c r="A63" i="53"/>
  <c r="I63" i="53" s="1"/>
  <c r="Q62" i="53"/>
  <c r="J62" i="53"/>
  <c r="B62" i="53"/>
  <c r="A62" i="53"/>
  <c r="I62" i="53" s="1"/>
  <c r="Q61" i="53"/>
  <c r="P61" i="53"/>
  <c r="O61" i="53"/>
  <c r="N61" i="53"/>
  <c r="M61" i="53"/>
  <c r="L61" i="53"/>
  <c r="K61" i="53"/>
  <c r="H61" i="53"/>
  <c r="G61" i="53"/>
  <c r="F61" i="53"/>
  <c r="E61" i="53"/>
  <c r="D61" i="53"/>
  <c r="C61" i="53"/>
  <c r="B61" i="53"/>
  <c r="J61" i="53" s="1"/>
  <c r="A61" i="53"/>
  <c r="I61" i="53" s="1"/>
  <c r="Q60" i="53"/>
  <c r="P60" i="53"/>
  <c r="O60" i="53"/>
  <c r="N60" i="53"/>
  <c r="M60" i="53"/>
  <c r="L60" i="53"/>
  <c r="K60" i="53"/>
  <c r="H60" i="53"/>
  <c r="G60" i="53"/>
  <c r="F60" i="53"/>
  <c r="E60" i="53"/>
  <c r="D60" i="53"/>
  <c r="C60" i="53"/>
  <c r="A60" i="53"/>
  <c r="I60" i="53" s="1"/>
  <c r="P58" i="53"/>
  <c r="O58" i="53"/>
  <c r="N58" i="53"/>
  <c r="M58" i="53"/>
  <c r="L58" i="53"/>
  <c r="K58" i="53"/>
  <c r="I58" i="53"/>
  <c r="H58" i="53"/>
  <c r="G58" i="53"/>
  <c r="F58" i="53"/>
  <c r="E58" i="53"/>
  <c r="D58" i="53"/>
  <c r="C58" i="53"/>
  <c r="I57" i="53"/>
  <c r="P56" i="53"/>
  <c r="O56" i="53"/>
  <c r="N56" i="53"/>
  <c r="M56" i="53"/>
  <c r="L56" i="53"/>
  <c r="K56" i="53"/>
  <c r="I56" i="53"/>
  <c r="H56" i="53"/>
  <c r="G56" i="53"/>
  <c r="F56" i="53"/>
  <c r="E56" i="53"/>
  <c r="D56" i="53"/>
  <c r="C56" i="53"/>
  <c r="I55" i="53"/>
  <c r="C55" i="53"/>
  <c r="Q54" i="53"/>
  <c r="Q52" i="53"/>
  <c r="I52" i="53"/>
  <c r="P51" i="53"/>
  <c r="O51" i="53"/>
  <c r="N51" i="53"/>
  <c r="M51" i="53"/>
  <c r="L51" i="53"/>
  <c r="K51" i="53"/>
  <c r="I51" i="53"/>
  <c r="H51" i="53"/>
  <c r="G51" i="53"/>
  <c r="F51" i="53"/>
  <c r="E51" i="53"/>
  <c r="D51" i="53"/>
  <c r="C51" i="53"/>
  <c r="Q50" i="53"/>
  <c r="I50" i="53"/>
  <c r="I49" i="53"/>
  <c r="P48" i="53"/>
  <c r="O48" i="53"/>
  <c r="N48" i="53"/>
  <c r="M48" i="53"/>
  <c r="L48" i="53"/>
  <c r="K48" i="53"/>
  <c r="I48" i="53"/>
  <c r="H48" i="53"/>
  <c r="G48" i="53"/>
  <c r="F48" i="53"/>
  <c r="E48" i="53"/>
  <c r="D48" i="53"/>
  <c r="C48" i="53"/>
  <c r="Q48" i="53" s="1"/>
  <c r="Q47" i="53"/>
  <c r="I47" i="53"/>
  <c r="Q46" i="53"/>
  <c r="A46" i="53"/>
  <c r="I46" i="53" s="1"/>
  <c r="J46" i="53" s="1"/>
  <c r="A45" i="53"/>
  <c r="B45" i="53" s="1"/>
  <c r="I44" i="53"/>
  <c r="A44" i="53"/>
  <c r="A43" i="53"/>
  <c r="I43" i="53" s="1"/>
  <c r="W42" i="53"/>
  <c r="A42" i="53"/>
  <c r="I42" i="53" s="1"/>
  <c r="I39" i="53"/>
  <c r="I38" i="53"/>
  <c r="I37" i="53"/>
  <c r="W37" i="53"/>
  <c r="Q36" i="53"/>
  <c r="I36" i="53"/>
  <c r="Q35" i="53"/>
  <c r="I35" i="53"/>
  <c r="Q34" i="53"/>
  <c r="I34" i="53"/>
  <c r="Q33" i="53"/>
  <c r="I33" i="53"/>
  <c r="Q32" i="53"/>
  <c r="I32" i="53"/>
  <c r="W32" i="53"/>
  <c r="Q31" i="53"/>
  <c r="I31" i="53"/>
  <c r="A30" i="53"/>
  <c r="I30" i="53" s="1"/>
  <c r="J30" i="53" s="1"/>
  <c r="C29" i="53"/>
  <c r="A29" i="53"/>
  <c r="B29" i="53" s="1"/>
  <c r="W29" i="53"/>
  <c r="Q28" i="53"/>
  <c r="B28" i="53"/>
  <c r="A28" i="53"/>
  <c r="I28" i="53" s="1"/>
  <c r="J28" i="53" s="1"/>
  <c r="C27" i="53"/>
  <c r="A27" i="53"/>
  <c r="I27" i="53" s="1"/>
  <c r="J27" i="53" s="1"/>
  <c r="Q25" i="53"/>
  <c r="I25" i="53"/>
  <c r="A25" i="53"/>
  <c r="B25" i="53" s="1"/>
  <c r="J25" i="53" s="1"/>
  <c r="W25" i="53"/>
  <c r="Q24" i="53"/>
  <c r="I24" i="53"/>
  <c r="A24" i="53"/>
  <c r="B24" i="53" s="1"/>
  <c r="J24" i="53" s="1"/>
  <c r="P23" i="53"/>
  <c r="O23" i="53"/>
  <c r="N23" i="53"/>
  <c r="M23" i="53"/>
  <c r="L23" i="53"/>
  <c r="K23" i="53"/>
  <c r="H23" i="53"/>
  <c r="G23" i="53"/>
  <c r="F23" i="53"/>
  <c r="E23" i="53"/>
  <c r="D23" i="53"/>
  <c r="C23" i="53"/>
  <c r="A23" i="53"/>
  <c r="B23" i="53" s="1"/>
  <c r="C69" i="53"/>
  <c r="F17" i="53"/>
  <c r="A17" i="53"/>
  <c r="D17" i="53" s="1"/>
  <c r="M15" i="53"/>
  <c r="I15" i="53"/>
  <c r="Y14" i="53"/>
  <c r="M14" i="53"/>
  <c r="L14" i="53"/>
  <c r="K14" i="53"/>
  <c r="I14" i="53"/>
  <c r="Z13" i="53"/>
  <c r="Y13" i="53"/>
  <c r="Y15" i="53" s="1"/>
  <c r="I13" i="53"/>
  <c r="Z12" i="53"/>
  <c r="Y12" i="53"/>
  <c r="M12" i="53"/>
  <c r="I12" i="53"/>
  <c r="Z11" i="53"/>
  <c r="Z14" i="53" s="1"/>
  <c r="Y11" i="53"/>
  <c r="AD10" i="53"/>
  <c r="Q10" i="53"/>
  <c r="N10" i="53"/>
  <c r="I10" i="53"/>
  <c r="H10" i="53"/>
  <c r="I8" i="53" s="1"/>
  <c r="E10" i="53"/>
  <c r="AD9" i="53"/>
  <c r="Y9" i="53"/>
  <c r="T9" i="53"/>
  <c r="A41" i="53" s="1"/>
  <c r="I41" i="53" s="1"/>
  <c r="N9" i="53"/>
  <c r="L9" i="53"/>
  <c r="M9" i="53" s="1"/>
  <c r="M10" i="53" s="1"/>
  <c r="I9" i="53"/>
  <c r="AD8" i="53"/>
  <c r="T8" i="53"/>
  <c r="A40" i="53" s="1"/>
  <c r="I40" i="53" s="1"/>
  <c r="AD7" i="53"/>
  <c r="Z7" i="53"/>
  <c r="Q7" i="53"/>
  <c r="N7" i="53"/>
  <c r="M7" i="53"/>
  <c r="I7" i="53"/>
  <c r="AD6" i="53"/>
  <c r="AC6" i="53"/>
  <c r="Z6" i="53"/>
  <c r="N6" i="53"/>
  <c r="Q4" i="53"/>
  <c r="H4" i="53"/>
  <c r="Q64" i="56"/>
  <c r="P64" i="56"/>
  <c r="O64" i="56"/>
  <c r="N64" i="56"/>
  <c r="M64" i="56"/>
  <c r="L64" i="56"/>
  <c r="K64" i="56"/>
  <c r="J64" i="56"/>
  <c r="I64" i="56"/>
  <c r="H64" i="56"/>
  <c r="G64" i="56"/>
  <c r="F64" i="56"/>
  <c r="E64" i="56"/>
  <c r="D64" i="56"/>
  <c r="C64" i="56"/>
  <c r="A64" i="56"/>
  <c r="Q63" i="56"/>
  <c r="P63" i="56"/>
  <c r="O63" i="56"/>
  <c r="N63" i="56"/>
  <c r="M63" i="56"/>
  <c r="L63" i="56"/>
  <c r="K63" i="56"/>
  <c r="H63" i="56"/>
  <c r="G63" i="56"/>
  <c r="F63" i="56"/>
  <c r="E63" i="56"/>
  <c r="D63" i="56"/>
  <c r="C63" i="56"/>
  <c r="B63" i="56"/>
  <c r="J63" i="56" s="1"/>
  <c r="A63" i="56"/>
  <c r="I63" i="56" s="1"/>
  <c r="Q62" i="56"/>
  <c r="B62" i="56"/>
  <c r="J62" i="56" s="1"/>
  <c r="A62" i="56"/>
  <c r="I62" i="56" s="1"/>
  <c r="Q61" i="56"/>
  <c r="P61" i="56"/>
  <c r="O61" i="56"/>
  <c r="N61" i="56"/>
  <c r="M61" i="56"/>
  <c r="L61" i="56"/>
  <c r="K61" i="56"/>
  <c r="H61" i="56"/>
  <c r="G61" i="56"/>
  <c r="F61" i="56"/>
  <c r="E61" i="56"/>
  <c r="D61" i="56"/>
  <c r="C61" i="56"/>
  <c r="B61" i="56"/>
  <c r="J61" i="56" s="1"/>
  <c r="A61" i="56"/>
  <c r="I61" i="56" s="1"/>
  <c r="Q60" i="56"/>
  <c r="P60" i="56"/>
  <c r="O60" i="56"/>
  <c r="N60" i="56"/>
  <c r="M60" i="56"/>
  <c r="L60" i="56"/>
  <c r="K60" i="56"/>
  <c r="H60" i="56"/>
  <c r="G60" i="56"/>
  <c r="F60" i="56"/>
  <c r="E60" i="56"/>
  <c r="D60" i="56"/>
  <c r="C60" i="56"/>
  <c r="A60" i="56"/>
  <c r="I60" i="56" s="1"/>
  <c r="P58" i="56"/>
  <c r="O58" i="56"/>
  <c r="N58" i="56"/>
  <c r="M58" i="56"/>
  <c r="L58" i="56"/>
  <c r="K58" i="56"/>
  <c r="I58" i="56"/>
  <c r="H58" i="56"/>
  <c r="G58" i="56"/>
  <c r="F58" i="56"/>
  <c r="E58" i="56"/>
  <c r="D58" i="56"/>
  <c r="C58" i="56"/>
  <c r="I57" i="56"/>
  <c r="P56" i="56"/>
  <c r="O56" i="56"/>
  <c r="N56" i="56"/>
  <c r="M56" i="56"/>
  <c r="L56" i="56"/>
  <c r="K56" i="56"/>
  <c r="I56" i="56"/>
  <c r="H56" i="56"/>
  <c r="G56" i="56"/>
  <c r="F56" i="56"/>
  <c r="E56" i="56"/>
  <c r="D56" i="56"/>
  <c r="C56" i="56"/>
  <c r="I55" i="56"/>
  <c r="C55" i="56"/>
  <c r="Q54" i="56"/>
  <c r="Q52" i="56"/>
  <c r="I52" i="56"/>
  <c r="P51" i="56"/>
  <c r="O51" i="56"/>
  <c r="N51" i="56"/>
  <c r="M51" i="56"/>
  <c r="L51" i="56"/>
  <c r="K51" i="56"/>
  <c r="I51" i="56"/>
  <c r="H51" i="56"/>
  <c r="G51" i="56"/>
  <c r="F51" i="56"/>
  <c r="E51" i="56"/>
  <c r="D51" i="56"/>
  <c r="C51" i="56"/>
  <c r="Q50" i="56"/>
  <c r="I50" i="56"/>
  <c r="I49" i="56"/>
  <c r="P48" i="56"/>
  <c r="O48" i="56"/>
  <c r="N48" i="56"/>
  <c r="M48" i="56"/>
  <c r="L48" i="56"/>
  <c r="K48" i="56"/>
  <c r="I48" i="56"/>
  <c r="H48" i="56"/>
  <c r="G48" i="56"/>
  <c r="F48" i="56"/>
  <c r="E48" i="56"/>
  <c r="D48" i="56"/>
  <c r="C48" i="56"/>
  <c r="Q48" i="56" s="1"/>
  <c r="Q47" i="56"/>
  <c r="I47" i="56"/>
  <c r="Q46" i="56"/>
  <c r="A46" i="56"/>
  <c r="I46" i="56" s="1"/>
  <c r="J46" i="56" s="1"/>
  <c r="A45" i="56"/>
  <c r="B45" i="56" s="1"/>
  <c r="I44" i="56"/>
  <c r="A44" i="56"/>
  <c r="A43" i="56"/>
  <c r="I43" i="56" s="1"/>
  <c r="W42" i="56"/>
  <c r="A42" i="56"/>
  <c r="I42" i="56" s="1"/>
  <c r="I39" i="56"/>
  <c r="I38" i="56"/>
  <c r="I37" i="56"/>
  <c r="W37" i="56"/>
  <c r="Q36" i="56"/>
  <c r="I36" i="56"/>
  <c r="Q35" i="56"/>
  <c r="I35" i="56"/>
  <c r="Q34" i="56"/>
  <c r="I34" i="56"/>
  <c r="Q33" i="56"/>
  <c r="I33" i="56"/>
  <c r="Q32" i="56"/>
  <c r="I32" i="56"/>
  <c r="W32" i="56"/>
  <c r="Q31" i="56"/>
  <c r="I31" i="56"/>
  <c r="A30" i="56"/>
  <c r="I30" i="56" s="1"/>
  <c r="J30" i="56" s="1"/>
  <c r="C29" i="56"/>
  <c r="A29" i="56"/>
  <c r="B29" i="56" s="1"/>
  <c r="W29" i="56"/>
  <c r="Q28" i="56"/>
  <c r="B28" i="56"/>
  <c r="A28" i="56"/>
  <c r="I28" i="56" s="1"/>
  <c r="J28" i="56" s="1"/>
  <c r="C27" i="56"/>
  <c r="A27" i="56"/>
  <c r="I27" i="56" s="1"/>
  <c r="J27" i="56" s="1"/>
  <c r="Q25" i="56"/>
  <c r="A25" i="56"/>
  <c r="I25" i="56" s="1"/>
  <c r="W25" i="56"/>
  <c r="Q24" i="56"/>
  <c r="J24" i="56"/>
  <c r="I24" i="56"/>
  <c r="A24" i="56"/>
  <c r="B24" i="56" s="1"/>
  <c r="P23" i="56"/>
  <c r="O23" i="56"/>
  <c r="N23" i="56"/>
  <c r="M23" i="56"/>
  <c r="L23" i="56"/>
  <c r="K23" i="56"/>
  <c r="H23" i="56"/>
  <c r="G23" i="56"/>
  <c r="F23" i="56"/>
  <c r="E23" i="56"/>
  <c r="D23" i="56"/>
  <c r="C23" i="56"/>
  <c r="A23" i="56"/>
  <c r="B23" i="56" s="1"/>
  <c r="C69" i="56"/>
  <c r="F17" i="56"/>
  <c r="D17" i="56"/>
  <c r="A17" i="56"/>
  <c r="M15" i="56"/>
  <c r="I15" i="56"/>
  <c r="Y14" i="56"/>
  <c r="M14" i="56"/>
  <c r="L14" i="56"/>
  <c r="K14" i="56"/>
  <c r="I14" i="56"/>
  <c r="Z13" i="56"/>
  <c r="Y13" i="56"/>
  <c r="Y15" i="56" s="1"/>
  <c r="I13" i="56"/>
  <c r="Z12" i="56"/>
  <c r="Y12" i="56"/>
  <c r="M12" i="56"/>
  <c r="I12" i="56"/>
  <c r="Z11" i="56"/>
  <c r="Z14" i="56" s="1"/>
  <c r="Y11" i="56"/>
  <c r="AD10" i="56"/>
  <c r="Q10" i="56"/>
  <c r="N10" i="56"/>
  <c r="I10" i="56"/>
  <c r="H10" i="56"/>
  <c r="I8" i="56" s="1"/>
  <c r="E10" i="56"/>
  <c r="AD9" i="56"/>
  <c r="Y9" i="56"/>
  <c r="T9" i="56"/>
  <c r="A41" i="56" s="1"/>
  <c r="I41" i="56" s="1"/>
  <c r="N9" i="56"/>
  <c r="L9" i="56"/>
  <c r="I9" i="56"/>
  <c r="AD8" i="56"/>
  <c r="T8" i="56"/>
  <c r="A40" i="56" s="1"/>
  <c r="I40" i="56" s="1"/>
  <c r="AD7" i="56"/>
  <c r="Z7" i="56"/>
  <c r="Q7" i="56"/>
  <c r="N7" i="56"/>
  <c r="M7" i="56"/>
  <c r="I7" i="56"/>
  <c r="AD6" i="56"/>
  <c r="AC6" i="56"/>
  <c r="Z6" i="56"/>
  <c r="W25" i="60" s="1"/>
  <c r="N6" i="56"/>
  <c r="Q4" i="56"/>
  <c r="H4" i="56"/>
  <c r="Q64" i="55"/>
  <c r="P64" i="55"/>
  <c r="O64" i="55"/>
  <c r="N64" i="55"/>
  <c r="M64" i="55"/>
  <c r="L64" i="55"/>
  <c r="K64" i="55"/>
  <c r="J64" i="55"/>
  <c r="I64" i="55"/>
  <c r="H64" i="55"/>
  <c r="G64" i="55"/>
  <c r="F64" i="55"/>
  <c r="E64" i="55"/>
  <c r="D64" i="55"/>
  <c r="C64" i="55"/>
  <c r="A64" i="55"/>
  <c r="Q63" i="55"/>
  <c r="P63" i="55"/>
  <c r="O63" i="55"/>
  <c r="N63" i="55"/>
  <c r="M63" i="55"/>
  <c r="L63" i="55"/>
  <c r="K63" i="55"/>
  <c r="H63" i="55"/>
  <c r="G63" i="55"/>
  <c r="F63" i="55"/>
  <c r="E63" i="55"/>
  <c r="D63" i="55"/>
  <c r="C63" i="55"/>
  <c r="B63" i="55"/>
  <c r="J63" i="55" s="1"/>
  <c r="A63" i="55"/>
  <c r="I63" i="55" s="1"/>
  <c r="Q62" i="55"/>
  <c r="J62" i="55"/>
  <c r="B62" i="55"/>
  <c r="A62" i="55"/>
  <c r="I62" i="55" s="1"/>
  <c r="Q61" i="55"/>
  <c r="P61" i="55"/>
  <c r="O61" i="55"/>
  <c r="N61" i="55"/>
  <c r="M61" i="55"/>
  <c r="L61" i="55"/>
  <c r="K61" i="55"/>
  <c r="H61" i="55"/>
  <c r="G61" i="55"/>
  <c r="F61" i="55"/>
  <c r="E61" i="55"/>
  <c r="D61" i="55"/>
  <c r="C61" i="55"/>
  <c r="B61" i="55"/>
  <c r="J61" i="55" s="1"/>
  <c r="A61" i="55"/>
  <c r="I61" i="55" s="1"/>
  <c r="Q60" i="55"/>
  <c r="P60" i="55"/>
  <c r="O60" i="55"/>
  <c r="N60" i="55"/>
  <c r="M60" i="55"/>
  <c r="L60" i="55"/>
  <c r="K60" i="55"/>
  <c r="H60" i="55"/>
  <c r="G60" i="55"/>
  <c r="F60" i="55"/>
  <c r="E60" i="55"/>
  <c r="D60" i="55"/>
  <c r="C60" i="55"/>
  <c r="A60" i="55"/>
  <c r="I60" i="55" s="1"/>
  <c r="P58" i="55"/>
  <c r="O58" i="55"/>
  <c r="N58" i="55"/>
  <c r="M58" i="55"/>
  <c r="L58" i="55"/>
  <c r="K58" i="55"/>
  <c r="I58" i="55"/>
  <c r="H58" i="55"/>
  <c r="G58" i="55"/>
  <c r="F58" i="55"/>
  <c r="E58" i="55"/>
  <c r="D58" i="55"/>
  <c r="C58" i="55"/>
  <c r="I57" i="55"/>
  <c r="P56" i="55"/>
  <c r="O56" i="55"/>
  <c r="N56" i="55"/>
  <c r="M56" i="55"/>
  <c r="L56" i="55"/>
  <c r="K56" i="55"/>
  <c r="I56" i="55"/>
  <c r="H56" i="55"/>
  <c r="G56" i="55"/>
  <c r="F56" i="55"/>
  <c r="E56" i="55"/>
  <c r="D56" i="55"/>
  <c r="C56" i="55"/>
  <c r="I55" i="55"/>
  <c r="Q54" i="55"/>
  <c r="Q52" i="55"/>
  <c r="I52" i="55"/>
  <c r="P51" i="55"/>
  <c r="O51" i="55"/>
  <c r="N51" i="55"/>
  <c r="M51" i="55"/>
  <c r="L51" i="55"/>
  <c r="K51" i="55"/>
  <c r="I51" i="55"/>
  <c r="H51" i="55"/>
  <c r="G51" i="55"/>
  <c r="F51" i="55"/>
  <c r="E51" i="55"/>
  <c r="D51" i="55"/>
  <c r="C51" i="55"/>
  <c r="Q50" i="55"/>
  <c r="I50" i="55"/>
  <c r="I49" i="55"/>
  <c r="P48" i="55"/>
  <c r="O48" i="55"/>
  <c r="N48" i="55"/>
  <c r="M48" i="55"/>
  <c r="L48" i="55"/>
  <c r="K48" i="55"/>
  <c r="I48" i="55"/>
  <c r="H48" i="55"/>
  <c r="G48" i="55"/>
  <c r="F48" i="55"/>
  <c r="E48" i="55"/>
  <c r="D48" i="55"/>
  <c r="C48" i="55"/>
  <c r="Q48" i="55" s="1"/>
  <c r="Q47" i="55"/>
  <c r="I47" i="55"/>
  <c r="Q46" i="55"/>
  <c r="A46" i="55"/>
  <c r="I46" i="55" s="1"/>
  <c r="J46" i="55" s="1"/>
  <c r="A45" i="55"/>
  <c r="I45" i="55" s="1"/>
  <c r="J45" i="55" s="1"/>
  <c r="A44" i="55"/>
  <c r="I44" i="55" s="1"/>
  <c r="A43" i="55"/>
  <c r="I43" i="55" s="1"/>
  <c r="W42" i="55"/>
  <c r="A42" i="55"/>
  <c r="I42" i="55" s="1"/>
  <c r="I39" i="55"/>
  <c r="I38" i="55"/>
  <c r="I37" i="55"/>
  <c r="W37" i="55"/>
  <c r="Q36" i="55"/>
  <c r="I36" i="55"/>
  <c r="Q35" i="55"/>
  <c r="I35" i="55"/>
  <c r="Q34" i="55"/>
  <c r="I34" i="55"/>
  <c r="Q33" i="55"/>
  <c r="I33" i="55"/>
  <c r="Q32" i="55"/>
  <c r="I32" i="55"/>
  <c r="W32" i="55"/>
  <c r="Q31" i="55"/>
  <c r="I31" i="55"/>
  <c r="A30" i="55"/>
  <c r="B30" i="55" s="1"/>
  <c r="A29" i="55"/>
  <c r="B29" i="55" s="1"/>
  <c r="W29" i="55"/>
  <c r="Q28" i="55"/>
  <c r="J28" i="55"/>
  <c r="I28" i="55"/>
  <c r="A28" i="55"/>
  <c r="B28" i="55" s="1"/>
  <c r="A27" i="55"/>
  <c r="I27" i="55" s="1"/>
  <c r="J27" i="55" s="1"/>
  <c r="Q25" i="55"/>
  <c r="B25" i="55"/>
  <c r="J25" i="55" s="1"/>
  <c r="A25" i="55"/>
  <c r="I25" i="55" s="1"/>
  <c r="Q24" i="55"/>
  <c r="I24" i="55"/>
  <c r="A24" i="55"/>
  <c r="B24" i="55" s="1"/>
  <c r="J24" i="55" s="1"/>
  <c r="P23" i="55"/>
  <c r="O23" i="55"/>
  <c r="N23" i="55"/>
  <c r="M23" i="55"/>
  <c r="L23" i="55"/>
  <c r="K23" i="55"/>
  <c r="H23" i="55"/>
  <c r="G23" i="55"/>
  <c r="F23" i="55"/>
  <c r="E23" i="55"/>
  <c r="D23" i="55"/>
  <c r="C23" i="55"/>
  <c r="A23" i="55"/>
  <c r="B23" i="55" s="1"/>
  <c r="C69" i="55"/>
  <c r="F17" i="55"/>
  <c r="A17" i="55"/>
  <c r="D17" i="55" s="1"/>
  <c r="M15" i="55"/>
  <c r="I15" i="55"/>
  <c r="Y14" i="55"/>
  <c r="M14" i="55"/>
  <c r="L14" i="55"/>
  <c r="K14" i="55"/>
  <c r="I14" i="55"/>
  <c r="Z13" i="55"/>
  <c r="Y13" i="55"/>
  <c r="I13" i="55"/>
  <c r="Z12" i="55"/>
  <c r="Y12" i="55"/>
  <c r="M12" i="55"/>
  <c r="I12" i="55"/>
  <c r="Z11" i="55"/>
  <c r="Y11" i="55"/>
  <c r="AD10" i="55"/>
  <c r="Q10" i="55"/>
  <c r="N10" i="55"/>
  <c r="H10" i="55"/>
  <c r="I10" i="55" s="1"/>
  <c r="E10" i="55"/>
  <c r="AD9" i="55"/>
  <c r="Y9" i="55"/>
  <c r="T9" i="55"/>
  <c r="A41" i="55" s="1"/>
  <c r="I41" i="55" s="1"/>
  <c r="N9" i="55"/>
  <c r="L9" i="55"/>
  <c r="M9" i="55" s="1"/>
  <c r="M10" i="55" s="1"/>
  <c r="I9" i="55"/>
  <c r="AD8" i="55"/>
  <c r="T8" i="55"/>
  <c r="A40" i="55" s="1"/>
  <c r="I40" i="55" s="1"/>
  <c r="AD7" i="55"/>
  <c r="Z7" i="55"/>
  <c r="Q7" i="55"/>
  <c r="N7" i="55"/>
  <c r="M7" i="55"/>
  <c r="I7" i="55"/>
  <c r="AD6" i="55"/>
  <c r="AC6" i="55"/>
  <c r="Z6" i="55"/>
  <c r="N6" i="55"/>
  <c r="Q4" i="55"/>
  <c r="H4" i="55"/>
  <c r="D69" i="60"/>
  <c r="Q64" i="60"/>
  <c r="P64" i="60"/>
  <c r="O64" i="60"/>
  <c r="N64" i="60"/>
  <c r="M64" i="60"/>
  <c r="L64" i="60"/>
  <c r="K64" i="60"/>
  <c r="J64" i="60"/>
  <c r="I64" i="60"/>
  <c r="H64" i="60"/>
  <c r="G64" i="60"/>
  <c r="F64" i="60"/>
  <c r="E64" i="60"/>
  <c r="D64" i="60"/>
  <c r="C64" i="60"/>
  <c r="A64" i="60"/>
  <c r="Q63" i="60"/>
  <c r="P63" i="60"/>
  <c r="O63" i="60"/>
  <c r="N63" i="60"/>
  <c r="M63" i="60"/>
  <c r="L63" i="60"/>
  <c r="K63" i="60"/>
  <c r="H63" i="60"/>
  <c r="G63" i="60"/>
  <c r="F63" i="60"/>
  <c r="E63" i="60"/>
  <c r="D63" i="60"/>
  <c r="C63" i="60"/>
  <c r="B63" i="60"/>
  <c r="J63" i="60" s="1"/>
  <c r="A63" i="60"/>
  <c r="I63" i="60" s="1"/>
  <c r="Q62" i="60"/>
  <c r="J62" i="60"/>
  <c r="B62" i="60"/>
  <c r="A62" i="60"/>
  <c r="I62" i="60" s="1"/>
  <c r="Q61" i="60"/>
  <c r="P61" i="60"/>
  <c r="O61" i="60"/>
  <c r="N61" i="60"/>
  <c r="M61" i="60"/>
  <c r="L61" i="60"/>
  <c r="K61" i="60"/>
  <c r="H61" i="60"/>
  <c r="G61" i="60"/>
  <c r="F61" i="60"/>
  <c r="E61" i="60"/>
  <c r="D61" i="60"/>
  <c r="C61" i="60"/>
  <c r="B61" i="60"/>
  <c r="J61" i="60" s="1"/>
  <c r="A61" i="60"/>
  <c r="I61" i="60" s="1"/>
  <c r="Q60" i="60"/>
  <c r="P60" i="60"/>
  <c r="O60" i="60"/>
  <c r="N60" i="60"/>
  <c r="M60" i="60"/>
  <c r="L60" i="60"/>
  <c r="K60" i="60"/>
  <c r="H60" i="60"/>
  <c r="G60" i="60"/>
  <c r="F60" i="60"/>
  <c r="E60" i="60"/>
  <c r="D60" i="60"/>
  <c r="C60" i="60"/>
  <c r="A60" i="60"/>
  <c r="I60" i="60" s="1"/>
  <c r="P58" i="60"/>
  <c r="O58" i="60"/>
  <c r="N58" i="60"/>
  <c r="M58" i="60"/>
  <c r="L58" i="60"/>
  <c r="K58" i="60"/>
  <c r="I58" i="60"/>
  <c r="H58" i="60"/>
  <c r="G58" i="60"/>
  <c r="F58" i="60"/>
  <c r="E58" i="60"/>
  <c r="D58" i="60"/>
  <c r="C58" i="60"/>
  <c r="I57" i="60"/>
  <c r="P56" i="60"/>
  <c r="O56" i="60"/>
  <c r="N56" i="60"/>
  <c r="M56" i="60"/>
  <c r="L56" i="60"/>
  <c r="K56" i="60"/>
  <c r="I56" i="60"/>
  <c r="H56" i="60"/>
  <c r="G56" i="60"/>
  <c r="F56" i="60"/>
  <c r="E56" i="60"/>
  <c r="D56" i="60"/>
  <c r="C56" i="60"/>
  <c r="I55" i="60"/>
  <c r="C55" i="60"/>
  <c r="Q54" i="60"/>
  <c r="Q52" i="60"/>
  <c r="I52" i="60"/>
  <c r="P51" i="60"/>
  <c r="O51" i="60"/>
  <c r="N51" i="60"/>
  <c r="M51" i="60"/>
  <c r="L51" i="60"/>
  <c r="K51" i="60"/>
  <c r="I51" i="60"/>
  <c r="H51" i="60"/>
  <c r="G51" i="60"/>
  <c r="F51" i="60"/>
  <c r="E51" i="60"/>
  <c r="D51" i="60"/>
  <c r="C51" i="60"/>
  <c r="Q50" i="60"/>
  <c r="I50" i="60"/>
  <c r="I49" i="60"/>
  <c r="P48" i="60"/>
  <c r="O48" i="60"/>
  <c r="N48" i="60"/>
  <c r="M48" i="60"/>
  <c r="L48" i="60"/>
  <c r="K48" i="60"/>
  <c r="I48" i="60"/>
  <c r="H48" i="60"/>
  <c r="G48" i="60"/>
  <c r="F48" i="60"/>
  <c r="E48" i="60"/>
  <c r="D48" i="60"/>
  <c r="C48" i="60"/>
  <c r="Q48" i="60" s="1"/>
  <c r="Q47" i="60"/>
  <c r="I47" i="60"/>
  <c r="Q46" i="60"/>
  <c r="A46" i="60"/>
  <c r="I46" i="60" s="1"/>
  <c r="J46" i="60" s="1"/>
  <c r="A45" i="60"/>
  <c r="B45" i="60" s="1"/>
  <c r="I44" i="60"/>
  <c r="A44" i="60"/>
  <c r="A43" i="60"/>
  <c r="I43" i="60" s="1"/>
  <c r="W42" i="60"/>
  <c r="A42" i="60"/>
  <c r="I42" i="60" s="1"/>
  <c r="I39" i="60"/>
  <c r="I38" i="60"/>
  <c r="I37" i="60"/>
  <c r="W37" i="60"/>
  <c r="Q36" i="60"/>
  <c r="I36" i="60"/>
  <c r="Q35" i="60"/>
  <c r="I35" i="60"/>
  <c r="Q34" i="60"/>
  <c r="I34" i="60"/>
  <c r="Q33" i="60"/>
  <c r="I33" i="60"/>
  <c r="Q32" i="60"/>
  <c r="I32" i="60"/>
  <c r="W32" i="60"/>
  <c r="Q31" i="60"/>
  <c r="I31" i="60"/>
  <c r="D30" i="60"/>
  <c r="A30" i="60"/>
  <c r="I30" i="60" s="1"/>
  <c r="J30" i="60" s="1"/>
  <c r="D29" i="60"/>
  <c r="C29" i="60"/>
  <c r="B29" i="60"/>
  <c r="A29" i="60"/>
  <c r="I29" i="60" s="1"/>
  <c r="J29" i="60" s="1"/>
  <c r="W29" i="60"/>
  <c r="Q28" i="60"/>
  <c r="B28" i="60"/>
  <c r="A28" i="60"/>
  <c r="I28" i="60" s="1"/>
  <c r="J28" i="60" s="1"/>
  <c r="E27" i="60"/>
  <c r="D27" i="60"/>
  <c r="C27" i="60"/>
  <c r="B27" i="60"/>
  <c r="A27" i="60"/>
  <c r="I27" i="60" s="1"/>
  <c r="J27" i="60" s="1"/>
  <c r="Q25" i="60"/>
  <c r="A25" i="60"/>
  <c r="I25" i="60" s="1"/>
  <c r="Q24" i="60"/>
  <c r="J24" i="60"/>
  <c r="I24" i="60"/>
  <c r="B24" i="60"/>
  <c r="A24" i="60"/>
  <c r="P23" i="60"/>
  <c r="O23" i="60"/>
  <c r="N23" i="60"/>
  <c r="M23" i="60"/>
  <c r="L23" i="60"/>
  <c r="K23" i="60"/>
  <c r="H23" i="60"/>
  <c r="G23" i="60"/>
  <c r="F23" i="60"/>
  <c r="E23" i="60"/>
  <c r="D23" i="60"/>
  <c r="C23" i="60"/>
  <c r="A23" i="60"/>
  <c r="B23" i="60" s="1"/>
  <c r="E29" i="60"/>
  <c r="D55" i="60"/>
  <c r="C69" i="60"/>
  <c r="F17" i="60"/>
  <c r="A17" i="60"/>
  <c r="D17" i="60" s="1"/>
  <c r="M15" i="60"/>
  <c r="I15" i="60"/>
  <c r="Y14" i="60"/>
  <c r="M14" i="60"/>
  <c r="L14" i="60"/>
  <c r="K14" i="60"/>
  <c r="I14" i="60"/>
  <c r="Z13" i="60"/>
  <c r="Y13" i="60"/>
  <c r="Y15" i="60" s="1"/>
  <c r="I13" i="60"/>
  <c r="Z12" i="60"/>
  <c r="Y12" i="60"/>
  <c r="M12" i="60"/>
  <c r="I12" i="60"/>
  <c r="Z11" i="60"/>
  <c r="Z14" i="60" s="1"/>
  <c r="Y11" i="60"/>
  <c r="AD10" i="60"/>
  <c r="Q10" i="60"/>
  <c r="N10" i="60"/>
  <c r="H10" i="60"/>
  <c r="I10" i="60" s="1"/>
  <c r="E10" i="60"/>
  <c r="AD9" i="60"/>
  <c r="Y9" i="60"/>
  <c r="T9" i="60"/>
  <c r="A41" i="60" s="1"/>
  <c r="I41" i="60" s="1"/>
  <c r="N9" i="60"/>
  <c r="L9" i="60"/>
  <c r="M9" i="60" s="1"/>
  <c r="M10" i="60" s="1"/>
  <c r="K9" i="60"/>
  <c r="I9" i="60"/>
  <c r="AD8" i="60"/>
  <c r="T8" i="60"/>
  <c r="A40" i="60" s="1"/>
  <c r="I40" i="60" s="1"/>
  <c r="AD7" i="60"/>
  <c r="Z7" i="60"/>
  <c r="Q7" i="60"/>
  <c r="N7" i="60"/>
  <c r="M7" i="60"/>
  <c r="I7" i="60"/>
  <c r="AD6" i="60"/>
  <c r="AC6" i="60"/>
  <c r="Z6" i="60"/>
  <c r="W25" i="58" s="1"/>
  <c r="N6" i="60"/>
  <c r="Q4" i="60"/>
  <c r="H4" i="60"/>
  <c r="Q64" i="59"/>
  <c r="P64" i="59"/>
  <c r="O64" i="59"/>
  <c r="N64" i="59"/>
  <c r="M64" i="59"/>
  <c r="L64" i="59"/>
  <c r="K64" i="59"/>
  <c r="J64" i="59"/>
  <c r="I64" i="59"/>
  <c r="H64" i="59"/>
  <c r="G64" i="59"/>
  <c r="F64" i="59"/>
  <c r="E64" i="59"/>
  <c r="D64" i="59"/>
  <c r="C64" i="59"/>
  <c r="A64" i="59"/>
  <c r="Q63" i="59"/>
  <c r="P63" i="59"/>
  <c r="O63" i="59"/>
  <c r="N63" i="59"/>
  <c r="M63" i="59"/>
  <c r="L63" i="59"/>
  <c r="K63" i="59"/>
  <c r="H63" i="59"/>
  <c r="G63" i="59"/>
  <c r="F63" i="59"/>
  <c r="E63" i="59"/>
  <c r="D63" i="59"/>
  <c r="C63" i="59"/>
  <c r="B63" i="59"/>
  <c r="J63" i="59" s="1"/>
  <c r="A63" i="59"/>
  <c r="I63" i="59" s="1"/>
  <c r="Q62" i="59"/>
  <c r="J62" i="59"/>
  <c r="I62" i="59"/>
  <c r="B62" i="59"/>
  <c r="A62" i="59"/>
  <c r="Q61" i="59"/>
  <c r="P61" i="59"/>
  <c r="O61" i="59"/>
  <c r="N61" i="59"/>
  <c r="M61" i="59"/>
  <c r="L61" i="59"/>
  <c r="K61" i="59"/>
  <c r="H61" i="59"/>
  <c r="G61" i="59"/>
  <c r="F61" i="59"/>
  <c r="E61" i="59"/>
  <c r="D61" i="59"/>
  <c r="C61" i="59"/>
  <c r="B61" i="59"/>
  <c r="J61" i="59" s="1"/>
  <c r="A61" i="59"/>
  <c r="I61" i="59" s="1"/>
  <c r="Q60" i="59"/>
  <c r="P60" i="59"/>
  <c r="O60" i="59"/>
  <c r="N60" i="59"/>
  <c r="M60" i="59"/>
  <c r="L60" i="59"/>
  <c r="K60" i="59"/>
  <c r="H60" i="59"/>
  <c r="G60" i="59"/>
  <c r="F60" i="59"/>
  <c r="E60" i="59"/>
  <c r="D60" i="59"/>
  <c r="C60" i="59"/>
  <c r="A60" i="59"/>
  <c r="I60" i="59" s="1"/>
  <c r="P58" i="59"/>
  <c r="O58" i="59"/>
  <c r="N58" i="59"/>
  <c r="M58" i="59"/>
  <c r="L58" i="59"/>
  <c r="K58" i="59"/>
  <c r="I58" i="59"/>
  <c r="H58" i="59"/>
  <c r="G58" i="59"/>
  <c r="F58" i="59"/>
  <c r="E58" i="59"/>
  <c r="D58" i="59"/>
  <c r="C58" i="59"/>
  <c r="I57" i="59"/>
  <c r="P56" i="59"/>
  <c r="O56" i="59"/>
  <c r="N56" i="59"/>
  <c r="M56" i="59"/>
  <c r="L56" i="59"/>
  <c r="K56" i="59"/>
  <c r="I56" i="59"/>
  <c r="H56" i="59"/>
  <c r="G56" i="59"/>
  <c r="F56" i="59"/>
  <c r="E56" i="59"/>
  <c r="D56" i="59"/>
  <c r="C56" i="59"/>
  <c r="I55" i="59"/>
  <c r="Q54" i="59"/>
  <c r="Q52" i="59"/>
  <c r="I52" i="59"/>
  <c r="P51" i="59"/>
  <c r="O51" i="59"/>
  <c r="N51" i="59"/>
  <c r="M51" i="59"/>
  <c r="L51" i="59"/>
  <c r="K51" i="59"/>
  <c r="I51" i="59"/>
  <c r="H51" i="59"/>
  <c r="G51" i="59"/>
  <c r="F51" i="59"/>
  <c r="E51" i="59"/>
  <c r="D51" i="59"/>
  <c r="C51" i="59"/>
  <c r="Q50" i="59"/>
  <c r="I50" i="59"/>
  <c r="I49" i="59"/>
  <c r="P48" i="59"/>
  <c r="O48" i="59"/>
  <c r="N48" i="59"/>
  <c r="M48" i="59"/>
  <c r="L48" i="59"/>
  <c r="K48" i="59"/>
  <c r="I48" i="59"/>
  <c r="H48" i="59"/>
  <c r="G48" i="59"/>
  <c r="F48" i="59"/>
  <c r="E48" i="59"/>
  <c r="D48" i="59"/>
  <c r="C48" i="59"/>
  <c r="Q48" i="59" s="1"/>
  <c r="Q47" i="59"/>
  <c r="I47" i="59"/>
  <c r="Q46" i="59"/>
  <c r="A46" i="59"/>
  <c r="B46" i="59" s="1"/>
  <c r="A45" i="59"/>
  <c r="B45" i="59" s="1"/>
  <c r="I44" i="59"/>
  <c r="A44" i="59"/>
  <c r="A43" i="59"/>
  <c r="I43" i="59" s="1"/>
  <c r="W42" i="59"/>
  <c r="A42" i="59"/>
  <c r="I42" i="59" s="1"/>
  <c r="I39" i="59"/>
  <c r="I38" i="59"/>
  <c r="I37" i="59"/>
  <c r="W37" i="59"/>
  <c r="Q36" i="59"/>
  <c r="I36" i="59"/>
  <c r="Q35" i="59"/>
  <c r="I35" i="59"/>
  <c r="Q34" i="59"/>
  <c r="I34" i="59"/>
  <c r="Q33" i="59"/>
  <c r="I33" i="59"/>
  <c r="Q32" i="59"/>
  <c r="I32" i="59"/>
  <c r="W32" i="59"/>
  <c r="Q31" i="59"/>
  <c r="I31" i="59"/>
  <c r="B30" i="59"/>
  <c r="A30" i="59"/>
  <c r="I30" i="59" s="1"/>
  <c r="J30" i="59" s="1"/>
  <c r="A29" i="59"/>
  <c r="B29" i="59" s="1"/>
  <c r="Q28" i="59"/>
  <c r="J28" i="59"/>
  <c r="I28" i="59"/>
  <c r="B28" i="59"/>
  <c r="A28" i="59"/>
  <c r="A27" i="59"/>
  <c r="B27" i="59" s="1"/>
  <c r="Q25" i="59"/>
  <c r="A25" i="59"/>
  <c r="I25" i="59" s="1"/>
  <c r="Q24" i="59"/>
  <c r="A24" i="59"/>
  <c r="I24" i="59" s="1"/>
  <c r="P23" i="59"/>
  <c r="O23" i="59"/>
  <c r="N23" i="59"/>
  <c r="M23" i="59"/>
  <c r="L23" i="59"/>
  <c r="K23" i="59"/>
  <c r="H23" i="59"/>
  <c r="G23" i="59"/>
  <c r="F23" i="59"/>
  <c r="E23" i="59"/>
  <c r="D23" i="59"/>
  <c r="C23" i="59"/>
  <c r="A23" i="59"/>
  <c r="B23" i="59" s="1"/>
  <c r="C69" i="59"/>
  <c r="F17" i="59"/>
  <c r="A17" i="59"/>
  <c r="D17" i="59" s="1"/>
  <c r="M15" i="59"/>
  <c r="I15" i="59"/>
  <c r="Y14" i="59"/>
  <c r="M14" i="59"/>
  <c r="L14" i="59"/>
  <c r="K14" i="59"/>
  <c r="I14" i="59"/>
  <c r="Z13" i="59"/>
  <c r="Y13" i="59"/>
  <c r="Y15" i="59" s="1"/>
  <c r="I13" i="59"/>
  <c r="Z12" i="59"/>
  <c r="Z14" i="59" s="1"/>
  <c r="Y12" i="59"/>
  <c r="M12" i="59"/>
  <c r="I12" i="59"/>
  <c r="Z11" i="59"/>
  <c r="Y11" i="59"/>
  <c r="AD10" i="59"/>
  <c r="Q10" i="59"/>
  <c r="N10" i="59"/>
  <c r="H10" i="59"/>
  <c r="I10" i="59" s="1"/>
  <c r="E10" i="59"/>
  <c r="AD9" i="59"/>
  <c r="Y9" i="59"/>
  <c r="T9" i="59"/>
  <c r="A41" i="59" s="1"/>
  <c r="I41" i="59" s="1"/>
  <c r="N9" i="59"/>
  <c r="L9" i="59"/>
  <c r="M9" i="59" s="1"/>
  <c r="M10" i="59" s="1"/>
  <c r="I9" i="59"/>
  <c r="AD8" i="59"/>
  <c r="T8" i="59"/>
  <c r="A40" i="59" s="1"/>
  <c r="I40" i="59" s="1"/>
  <c r="AD7" i="59"/>
  <c r="Z7" i="59"/>
  <c r="Q7" i="59"/>
  <c r="N7" i="59"/>
  <c r="M7" i="59"/>
  <c r="I7" i="59"/>
  <c r="AD6" i="59"/>
  <c r="AC6" i="59"/>
  <c r="W29" i="59" s="1"/>
  <c r="Z6" i="59"/>
  <c r="N6" i="59"/>
  <c r="Q4" i="59"/>
  <c r="H4" i="59"/>
  <c r="Q64" i="58"/>
  <c r="P64" i="58"/>
  <c r="O64" i="58"/>
  <c r="N64" i="58"/>
  <c r="M64" i="58"/>
  <c r="L64" i="58"/>
  <c r="K64" i="58"/>
  <c r="J64" i="58"/>
  <c r="I64" i="58"/>
  <c r="H64" i="58"/>
  <c r="G64" i="58"/>
  <c r="F64" i="58"/>
  <c r="E64" i="58"/>
  <c r="D64" i="58"/>
  <c r="C64" i="58"/>
  <c r="A64" i="58"/>
  <c r="Q63" i="58"/>
  <c r="P63" i="58"/>
  <c r="O63" i="58"/>
  <c r="N63" i="58"/>
  <c r="M63" i="58"/>
  <c r="L63" i="58"/>
  <c r="K63" i="58"/>
  <c r="H63" i="58"/>
  <c r="G63" i="58"/>
  <c r="F63" i="58"/>
  <c r="E63" i="58"/>
  <c r="D63" i="58"/>
  <c r="C63" i="58"/>
  <c r="B63" i="58"/>
  <c r="J63" i="58" s="1"/>
  <c r="A63" i="58"/>
  <c r="I63" i="58" s="1"/>
  <c r="Q62" i="58"/>
  <c r="J62" i="58"/>
  <c r="B62" i="58"/>
  <c r="A62" i="58"/>
  <c r="I62" i="58" s="1"/>
  <c r="Q61" i="58"/>
  <c r="P61" i="58"/>
  <c r="O61" i="58"/>
  <c r="N61" i="58"/>
  <c r="M61" i="58"/>
  <c r="L61" i="58"/>
  <c r="K61" i="58"/>
  <c r="H61" i="58"/>
  <c r="G61" i="58"/>
  <c r="F61" i="58"/>
  <c r="E61" i="58"/>
  <c r="D61" i="58"/>
  <c r="C61" i="58"/>
  <c r="B61" i="58"/>
  <c r="J61" i="58" s="1"/>
  <c r="A61" i="58"/>
  <c r="I61" i="58" s="1"/>
  <c r="Q60" i="58"/>
  <c r="P60" i="58"/>
  <c r="O60" i="58"/>
  <c r="N60" i="58"/>
  <c r="M60" i="58"/>
  <c r="L60" i="58"/>
  <c r="K60" i="58"/>
  <c r="H60" i="58"/>
  <c r="G60" i="58"/>
  <c r="F60" i="58"/>
  <c r="E60" i="58"/>
  <c r="D60" i="58"/>
  <c r="C60" i="58"/>
  <c r="A60" i="58"/>
  <c r="I60" i="58" s="1"/>
  <c r="P58" i="58"/>
  <c r="O58" i="58"/>
  <c r="N58" i="58"/>
  <c r="M58" i="58"/>
  <c r="L58" i="58"/>
  <c r="K58" i="58"/>
  <c r="I58" i="58"/>
  <c r="H58" i="58"/>
  <c r="G58" i="58"/>
  <c r="F58" i="58"/>
  <c r="E58" i="58"/>
  <c r="D58" i="58"/>
  <c r="C58" i="58"/>
  <c r="I57" i="58"/>
  <c r="P56" i="58"/>
  <c r="O56" i="58"/>
  <c r="N56" i="58"/>
  <c r="M56" i="58"/>
  <c r="L56" i="58"/>
  <c r="K56" i="58"/>
  <c r="I56" i="58"/>
  <c r="H56" i="58"/>
  <c r="G56" i="58"/>
  <c r="F56" i="58"/>
  <c r="E56" i="58"/>
  <c r="D56" i="58"/>
  <c r="C56" i="58"/>
  <c r="I55" i="58"/>
  <c r="C55" i="58"/>
  <c r="Q54" i="58"/>
  <c r="Q52" i="58"/>
  <c r="I52" i="58"/>
  <c r="P51" i="58"/>
  <c r="O51" i="58"/>
  <c r="N51" i="58"/>
  <c r="M51" i="58"/>
  <c r="L51" i="58"/>
  <c r="K51" i="58"/>
  <c r="I51" i="58"/>
  <c r="H51" i="58"/>
  <c r="G51" i="58"/>
  <c r="F51" i="58"/>
  <c r="E51" i="58"/>
  <c r="D51" i="58"/>
  <c r="C51" i="58"/>
  <c r="Q50" i="58"/>
  <c r="I50" i="58"/>
  <c r="I49" i="58"/>
  <c r="P48" i="58"/>
  <c r="O48" i="58"/>
  <c r="N48" i="58"/>
  <c r="M48" i="58"/>
  <c r="L48" i="58"/>
  <c r="K48" i="58"/>
  <c r="I48" i="58"/>
  <c r="H48" i="58"/>
  <c r="G48" i="58"/>
  <c r="F48" i="58"/>
  <c r="E48" i="58"/>
  <c r="D48" i="58"/>
  <c r="C48" i="58"/>
  <c r="Q48" i="58" s="1"/>
  <c r="Q47" i="58"/>
  <c r="I47" i="58"/>
  <c r="Q46" i="58"/>
  <c r="A46" i="58"/>
  <c r="I46" i="58" s="1"/>
  <c r="J46" i="58" s="1"/>
  <c r="A45" i="58"/>
  <c r="B45" i="58" s="1"/>
  <c r="I44" i="58"/>
  <c r="A44" i="58"/>
  <c r="A43" i="58"/>
  <c r="I43" i="58" s="1"/>
  <c r="W42" i="58"/>
  <c r="A42" i="58"/>
  <c r="I42" i="58" s="1"/>
  <c r="I39" i="58"/>
  <c r="I38" i="58"/>
  <c r="I37" i="58"/>
  <c r="W37" i="58"/>
  <c r="Q36" i="58"/>
  <c r="I36" i="58"/>
  <c r="Q35" i="58"/>
  <c r="I35" i="58"/>
  <c r="Q34" i="58"/>
  <c r="I34" i="58"/>
  <c r="Q33" i="58"/>
  <c r="I33" i="58"/>
  <c r="Q32" i="58"/>
  <c r="I32" i="58"/>
  <c r="W32" i="58"/>
  <c r="Q31" i="58"/>
  <c r="I31" i="58"/>
  <c r="A30" i="58"/>
  <c r="I30" i="58" s="1"/>
  <c r="J30" i="58" s="1"/>
  <c r="C29" i="58"/>
  <c r="A29" i="58"/>
  <c r="B29" i="58" s="1"/>
  <c r="W29" i="58"/>
  <c r="Q28" i="58"/>
  <c r="A28" i="58"/>
  <c r="I28" i="58" s="1"/>
  <c r="J28" i="58" s="1"/>
  <c r="C27" i="58"/>
  <c r="A27" i="58"/>
  <c r="I27" i="58" s="1"/>
  <c r="J27" i="58" s="1"/>
  <c r="Q25" i="58"/>
  <c r="A25" i="58"/>
  <c r="I25" i="58" s="1"/>
  <c r="Q24" i="58"/>
  <c r="I24" i="58"/>
  <c r="A24" i="58"/>
  <c r="B24" i="58" s="1"/>
  <c r="J24" i="58" s="1"/>
  <c r="P23" i="58"/>
  <c r="O23" i="58"/>
  <c r="N23" i="58"/>
  <c r="M23" i="58"/>
  <c r="L23" i="58"/>
  <c r="K23" i="58"/>
  <c r="H23" i="58"/>
  <c r="G23" i="58"/>
  <c r="F23" i="58"/>
  <c r="E23" i="58"/>
  <c r="D23" i="58"/>
  <c r="C23" i="58"/>
  <c r="A23" i="58"/>
  <c r="B23" i="58" s="1"/>
  <c r="C69" i="58"/>
  <c r="F17" i="58"/>
  <c r="A17" i="58"/>
  <c r="D17" i="58" s="1"/>
  <c r="M15" i="58"/>
  <c r="I15" i="58"/>
  <c r="Y14" i="58"/>
  <c r="M14" i="58"/>
  <c r="L14" i="58"/>
  <c r="K14" i="58"/>
  <c r="I14" i="58"/>
  <c r="Z13" i="58"/>
  <c r="Y13" i="58"/>
  <c r="Y15" i="58" s="1"/>
  <c r="I13" i="58"/>
  <c r="Z12" i="58"/>
  <c r="Y12" i="58"/>
  <c r="M12" i="58"/>
  <c r="I12" i="58"/>
  <c r="Z11" i="58"/>
  <c r="Z14" i="58" s="1"/>
  <c r="Y11" i="58"/>
  <c r="AD10" i="58"/>
  <c r="Q10" i="58"/>
  <c r="N10" i="58"/>
  <c r="H10" i="58"/>
  <c r="I10" i="58" s="1"/>
  <c r="E10" i="58"/>
  <c r="AD9" i="58"/>
  <c r="Y9" i="58"/>
  <c r="T9" i="58"/>
  <c r="A41" i="58" s="1"/>
  <c r="I41" i="58" s="1"/>
  <c r="N9" i="58"/>
  <c r="L9" i="58"/>
  <c r="M9" i="58" s="1"/>
  <c r="M10" i="58" s="1"/>
  <c r="K9" i="58"/>
  <c r="I9" i="58"/>
  <c r="AD8" i="58"/>
  <c r="T8" i="58"/>
  <c r="A40" i="58" s="1"/>
  <c r="I40" i="58" s="1"/>
  <c r="AD7" i="58"/>
  <c r="Z7" i="58"/>
  <c r="Q7" i="58"/>
  <c r="N7" i="58"/>
  <c r="M7" i="58"/>
  <c r="I7" i="58"/>
  <c r="AD6" i="58"/>
  <c r="AC6" i="58"/>
  <c r="Z6" i="58"/>
  <c r="N6" i="58"/>
  <c r="Q4" i="58"/>
  <c r="H4" i="58"/>
  <c r="Q64" i="57"/>
  <c r="P64" i="57"/>
  <c r="O64" i="57"/>
  <c r="N64" i="57"/>
  <c r="M64" i="57"/>
  <c r="L64" i="57"/>
  <c r="K64" i="57"/>
  <c r="J64" i="57"/>
  <c r="I64" i="57"/>
  <c r="H64" i="57"/>
  <c r="G64" i="57"/>
  <c r="F64" i="57"/>
  <c r="E64" i="57"/>
  <c r="D64" i="57"/>
  <c r="C64" i="57"/>
  <c r="A64" i="57"/>
  <c r="Q63" i="57"/>
  <c r="P63" i="57"/>
  <c r="O63" i="57"/>
  <c r="N63" i="57"/>
  <c r="M63" i="57"/>
  <c r="L63" i="57"/>
  <c r="K63" i="57"/>
  <c r="H63" i="57"/>
  <c r="G63" i="57"/>
  <c r="F63" i="57"/>
  <c r="E63" i="57"/>
  <c r="D63" i="57"/>
  <c r="C63" i="57"/>
  <c r="B63" i="57"/>
  <c r="J63" i="57" s="1"/>
  <c r="A63" i="57"/>
  <c r="I63" i="57" s="1"/>
  <c r="Q62" i="57"/>
  <c r="J62" i="57"/>
  <c r="B62" i="57"/>
  <c r="A62" i="57"/>
  <c r="I62" i="57" s="1"/>
  <c r="Q61" i="57"/>
  <c r="P61" i="57"/>
  <c r="O61" i="57"/>
  <c r="N61" i="57"/>
  <c r="M61" i="57"/>
  <c r="L61" i="57"/>
  <c r="K61" i="57"/>
  <c r="H61" i="57"/>
  <c r="G61" i="57"/>
  <c r="F61" i="57"/>
  <c r="E61" i="57"/>
  <c r="D61" i="57"/>
  <c r="C61" i="57"/>
  <c r="B61" i="57"/>
  <c r="J61" i="57" s="1"/>
  <c r="A61" i="57"/>
  <c r="I61" i="57" s="1"/>
  <c r="Q60" i="57"/>
  <c r="P60" i="57"/>
  <c r="O60" i="57"/>
  <c r="N60" i="57"/>
  <c r="M60" i="57"/>
  <c r="L60" i="57"/>
  <c r="K60" i="57"/>
  <c r="H60" i="57"/>
  <c r="G60" i="57"/>
  <c r="F60" i="57"/>
  <c r="E60" i="57"/>
  <c r="D60" i="57"/>
  <c r="C60" i="57"/>
  <c r="A60" i="57"/>
  <c r="I60" i="57" s="1"/>
  <c r="P58" i="57"/>
  <c r="O58" i="57"/>
  <c r="N58" i="57"/>
  <c r="M58" i="57"/>
  <c r="L58" i="57"/>
  <c r="K58" i="57"/>
  <c r="I58" i="57"/>
  <c r="H58" i="57"/>
  <c r="G58" i="57"/>
  <c r="F58" i="57"/>
  <c r="E58" i="57"/>
  <c r="D58" i="57"/>
  <c r="C58" i="57"/>
  <c r="I57" i="57"/>
  <c r="P56" i="57"/>
  <c r="O56" i="57"/>
  <c r="N56" i="57"/>
  <c r="M56" i="57"/>
  <c r="L56" i="57"/>
  <c r="K56" i="57"/>
  <c r="I56" i="57"/>
  <c r="H56" i="57"/>
  <c r="G56" i="57"/>
  <c r="F56" i="57"/>
  <c r="E56" i="57"/>
  <c r="D56" i="57"/>
  <c r="C56" i="57"/>
  <c r="I55" i="57"/>
  <c r="C55" i="57"/>
  <c r="Q54" i="57"/>
  <c r="Q52" i="57"/>
  <c r="I52" i="57"/>
  <c r="P51" i="57"/>
  <c r="O51" i="57"/>
  <c r="N51" i="57"/>
  <c r="M51" i="57"/>
  <c r="L51" i="57"/>
  <c r="K51" i="57"/>
  <c r="I51" i="57"/>
  <c r="H51" i="57"/>
  <c r="G51" i="57"/>
  <c r="F51" i="57"/>
  <c r="E51" i="57"/>
  <c r="D51" i="57"/>
  <c r="C51" i="57"/>
  <c r="Q50" i="57"/>
  <c r="I50" i="57"/>
  <c r="I49" i="57"/>
  <c r="P48" i="57"/>
  <c r="O48" i="57"/>
  <c r="N48" i="57"/>
  <c r="M48" i="57"/>
  <c r="L48" i="57"/>
  <c r="K48" i="57"/>
  <c r="I48" i="57"/>
  <c r="H48" i="57"/>
  <c r="G48" i="57"/>
  <c r="F48" i="57"/>
  <c r="E48" i="57"/>
  <c r="D48" i="57"/>
  <c r="C48" i="57"/>
  <c r="Q48" i="57" s="1"/>
  <c r="Q47" i="57"/>
  <c r="I47" i="57"/>
  <c r="Q46" i="57"/>
  <c r="A46" i="57"/>
  <c r="I46" i="57" s="1"/>
  <c r="J46" i="57" s="1"/>
  <c r="A45" i="57"/>
  <c r="B45" i="57" s="1"/>
  <c r="I44" i="57"/>
  <c r="A44" i="57"/>
  <c r="A43" i="57"/>
  <c r="I43" i="57" s="1"/>
  <c r="W42" i="57"/>
  <c r="A42" i="57"/>
  <c r="I42" i="57" s="1"/>
  <c r="I39" i="57"/>
  <c r="I38" i="57"/>
  <c r="I37" i="57"/>
  <c r="W37" i="57"/>
  <c r="Q36" i="57"/>
  <c r="I36" i="57"/>
  <c r="Q35" i="57"/>
  <c r="I35" i="57"/>
  <c r="Q34" i="57"/>
  <c r="I34" i="57"/>
  <c r="Q33" i="57"/>
  <c r="I33" i="57"/>
  <c r="Q32" i="57"/>
  <c r="I32" i="57"/>
  <c r="W32" i="57"/>
  <c r="Q31" i="57"/>
  <c r="I31" i="57"/>
  <c r="A30" i="57"/>
  <c r="I30" i="57" s="1"/>
  <c r="J30" i="57" s="1"/>
  <c r="C29" i="57"/>
  <c r="A29" i="57"/>
  <c r="B29" i="57" s="1"/>
  <c r="W29" i="57"/>
  <c r="Q28" i="57"/>
  <c r="A28" i="57"/>
  <c r="I28" i="57" s="1"/>
  <c r="J28" i="57" s="1"/>
  <c r="C27" i="57"/>
  <c r="A27" i="57"/>
  <c r="I27" i="57" s="1"/>
  <c r="J27" i="57" s="1"/>
  <c r="Q25" i="57"/>
  <c r="B25" i="57"/>
  <c r="J25" i="57" s="1"/>
  <c r="A25" i="57"/>
  <c r="I25" i="57" s="1"/>
  <c r="Q24" i="57"/>
  <c r="I24" i="57"/>
  <c r="A24" i="57"/>
  <c r="B24" i="57" s="1"/>
  <c r="J24" i="57" s="1"/>
  <c r="P23" i="57"/>
  <c r="O23" i="57"/>
  <c r="N23" i="57"/>
  <c r="M23" i="57"/>
  <c r="L23" i="57"/>
  <c r="K23" i="57"/>
  <c r="H23" i="57"/>
  <c r="G23" i="57"/>
  <c r="F23" i="57"/>
  <c r="E23" i="57"/>
  <c r="D23" i="57"/>
  <c r="C23" i="57"/>
  <c r="A23" i="57"/>
  <c r="I23" i="57" s="1"/>
  <c r="J23" i="57" s="1"/>
  <c r="C69" i="57"/>
  <c r="F17" i="57"/>
  <c r="A17" i="57"/>
  <c r="D17" i="57" s="1"/>
  <c r="M15" i="57"/>
  <c r="I15" i="57"/>
  <c r="Y14" i="57"/>
  <c r="M14" i="57"/>
  <c r="L14" i="57"/>
  <c r="K14" i="57"/>
  <c r="I14" i="57"/>
  <c r="Z13" i="57"/>
  <c r="Y13" i="57"/>
  <c r="Y15" i="57" s="1"/>
  <c r="I13" i="57"/>
  <c r="Z12" i="57"/>
  <c r="Y12" i="57"/>
  <c r="M12" i="57"/>
  <c r="I12" i="57"/>
  <c r="Z11" i="57"/>
  <c r="Z14" i="57" s="1"/>
  <c r="Y11" i="57"/>
  <c r="AD10" i="57"/>
  <c r="Q10" i="57"/>
  <c r="N10" i="57"/>
  <c r="H10" i="57"/>
  <c r="I10" i="57" s="1"/>
  <c r="E10" i="57"/>
  <c r="AD9" i="57"/>
  <c r="Y9" i="57"/>
  <c r="T9" i="57"/>
  <c r="A41" i="57" s="1"/>
  <c r="I41" i="57" s="1"/>
  <c r="N9" i="57"/>
  <c r="L9" i="57"/>
  <c r="M9" i="57" s="1"/>
  <c r="M10" i="57" s="1"/>
  <c r="I9" i="57"/>
  <c r="AD8" i="57"/>
  <c r="T8" i="57"/>
  <c r="A40" i="57" s="1"/>
  <c r="I40" i="57" s="1"/>
  <c r="AD7" i="57"/>
  <c r="Z7" i="57"/>
  <c r="Q7" i="57"/>
  <c r="N7" i="57"/>
  <c r="M7" i="57"/>
  <c r="I7" i="57"/>
  <c r="AD6" i="57"/>
  <c r="AC6" i="57"/>
  <c r="Z6" i="57"/>
  <c r="N6" i="57"/>
  <c r="Q4" i="57"/>
  <c r="H4" i="57"/>
  <c r="M79" i="52"/>
  <c r="M79" i="51"/>
  <c r="M79" i="50"/>
  <c r="M79" i="49"/>
  <c r="M79" i="48"/>
  <c r="M79" i="47"/>
  <c r="M79" i="46"/>
  <c r="M79" i="45"/>
  <c r="K9" i="57" l="1"/>
  <c r="B27" i="54"/>
  <c r="B25" i="54"/>
  <c r="J25" i="54" s="1"/>
  <c r="Q23" i="54"/>
  <c r="D37" i="60"/>
  <c r="D42" i="60" s="1"/>
  <c r="Q23" i="59"/>
  <c r="Q56" i="54"/>
  <c r="Q51" i="54"/>
  <c r="Q58" i="54"/>
  <c r="B30" i="54"/>
  <c r="Q56" i="53"/>
  <c r="B27" i="53"/>
  <c r="Q23" i="53"/>
  <c r="B30" i="53"/>
  <c r="B27" i="56"/>
  <c r="B30" i="56"/>
  <c r="B25" i="56"/>
  <c r="J25" i="56" s="1"/>
  <c r="Q56" i="56"/>
  <c r="Q23" i="55"/>
  <c r="B27" i="55"/>
  <c r="Q56" i="55"/>
  <c r="Q23" i="60"/>
  <c r="B25" i="60"/>
  <c r="J25" i="60" s="1"/>
  <c r="D70" i="60"/>
  <c r="D79" i="60" s="1"/>
  <c r="Q56" i="60"/>
  <c r="B30" i="60"/>
  <c r="I8" i="59"/>
  <c r="Q56" i="59"/>
  <c r="B27" i="58"/>
  <c r="B30" i="58"/>
  <c r="B25" i="58"/>
  <c r="J25" i="58" s="1"/>
  <c r="Q23" i="58"/>
  <c r="Q56" i="58"/>
  <c r="Q23" i="57"/>
  <c r="B27" i="57"/>
  <c r="B30" i="57"/>
  <c r="Q56" i="57"/>
  <c r="I8" i="54"/>
  <c r="B46" i="54"/>
  <c r="I23" i="54"/>
  <c r="J23" i="54" s="1"/>
  <c r="I29" i="54"/>
  <c r="J29" i="54" s="1"/>
  <c r="C67" i="54"/>
  <c r="S33" i="54" s="1"/>
  <c r="Q51" i="53"/>
  <c r="Q58" i="53"/>
  <c r="K9" i="54"/>
  <c r="I45" i="54"/>
  <c r="J45" i="54" s="1"/>
  <c r="C30" i="54"/>
  <c r="B46" i="53"/>
  <c r="I23" i="53"/>
  <c r="J23" i="53" s="1"/>
  <c r="I29" i="53"/>
  <c r="J29" i="53" s="1"/>
  <c r="C67" i="53"/>
  <c r="S33" i="53" s="1"/>
  <c r="C70" i="53"/>
  <c r="C79" i="53" s="1"/>
  <c r="C77" i="53" s="1"/>
  <c r="K9" i="53"/>
  <c r="Q51" i="56"/>
  <c r="I45" i="53"/>
  <c r="J45" i="53" s="1"/>
  <c r="Q58" i="56"/>
  <c r="C30" i="53"/>
  <c r="M9" i="56"/>
  <c r="M10" i="56" s="1"/>
  <c r="K9" i="56"/>
  <c r="Q23" i="56"/>
  <c r="B45" i="55"/>
  <c r="Q51" i="55"/>
  <c r="B46" i="56"/>
  <c r="W25" i="55"/>
  <c r="I23" i="56"/>
  <c r="J23" i="56" s="1"/>
  <c r="I29" i="56"/>
  <c r="J29" i="56" s="1"/>
  <c r="C67" i="56"/>
  <c r="S33" i="56" s="1"/>
  <c r="Q58" i="55"/>
  <c r="I45" i="56"/>
  <c r="J45" i="56" s="1"/>
  <c r="C30" i="56"/>
  <c r="C70" i="56" s="1"/>
  <c r="C79" i="56" s="1"/>
  <c r="C77" i="56" s="1"/>
  <c r="Y15" i="55"/>
  <c r="Z14" i="55"/>
  <c r="I8" i="55"/>
  <c r="B46" i="55"/>
  <c r="I23" i="55"/>
  <c r="J23" i="55" s="1"/>
  <c r="I29" i="55"/>
  <c r="J29" i="55" s="1"/>
  <c r="C67" i="55"/>
  <c r="S33" i="55" s="1"/>
  <c r="Q51" i="60"/>
  <c r="Q58" i="60"/>
  <c r="K9" i="55"/>
  <c r="C29" i="55"/>
  <c r="I30" i="55"/>
  <c r="J30" i="55" s="1"/>
  <c r="C27" i="55"/>
  <c r="C55" i="55"/>
  <c r="W25" i="57"/>
  <c r="I8" i="60"/>
  <c r="E30" i="60"/>
  <c r="E70" i="60" s="1"/>
  <c r="E79" i="60" s="1"/>
  <c r="B46" i="60"/>
  <c r="E69" i="60"/>
  <c r="Q51" i="59"/>
  <c r="W25" i="59"/>
  <c r="I23" i="60"/>
  <c r="J23" i="60" s="1"/>
  <c r="C67" i="60"/>
  <c r="S33" i="60" s="1"/>
  <c r="E55" i="60"/>
  <c r="Q58" i="59"/>
  <c r="D67" i="60"/>
  <c r="E67" i="60"/>
  <c r="I45" i="60"/>
  <c r="J45" i="60" s="1"/>
  <c r="C30" i="60"/>
  <c r="I23" i="59"/>
  <c r="J23" i="59" s="1"/>
  <c r="B25" i="59"/>
  <c r="J25" i="59" s="1"/>
  <c r="I46" i="59"/>
  <c r="J46" i="59" s="1"/>
  <c r="I29" i="59"/>
  <c r="J29" i="59" s="1"/>
  <c r="C67" i="59"/>
  <c r="S33" i="59" s="1"/>
  <c r="B24" i="59"/>
  <c r="J24" i="59" s="1"/>
  <c r="I27" i="59"/>
  <c r="J27" i="59" s="1"/>
  <c r="Q51" i="57"/>
  <c r="Q58" i="57"/>
  <c r="Q51" i="58"/>
  <c r="Q58" i="58"/>
  <c r="K9" i="59"/>
  <c r="C29" i="59"/>
  <c r="C27" i="59"/>
  <c r="I45" i="59"/>
  <c r="J45" i="59" s="1"/>
  <c r="C55" i="59"/>
  <c r="I8" i="58"/>
  <c r="B46" i="58"/>
  <c r="I23" i="58"/>
  <c r="J23" i="58" s="1"/>
  <c r="I29" i="58"/>
  <c r="J29" i="58" s="1"/>
  <c r="C67" i="58"/>
  <c r="S33" i="58" s="1"/>
  <c r="B28" i="58"/>
  <c r="I45" i="58"/>
  <c r="J45" i="58" s="1"/>
  <c r="C30" i="58"/>
  <c r="C37" i="58" s="1"/>
  <c r="I8" i="57"/>
  <c r="B46" i="57"/>
  <c r="B28" i="57"/>
  <c r="B23" i="57"/>
  <c r="I29" i="57"/>
  <c r="J29" i="57" s="1"/>
  <c r="C67" i="57"/>
  <c r="S33" i="57" s="1"/>
  <c r="I45" i="57"/>
  <c r="J45" i="57" s="1"/>
  <c r="C30" i="57"/>
  <c r="C70" i="57" s="1"/>
  <c r="C79" i="57" s="1"/>
  <c r="C77" i="57" s="1"/>
  <c r="J24" i="35"/>
  <c r="I19" i="35"/>
  <c r="S31" i="35"/>
  <c r="A17" i="35"/>
  <c r="D17" i="35" s="1"/>
  <c r="AA2" i="54"/>
  <c r="U2" i="54"/>
  <c r="U4" i="54" s="1"/>
  <c r="V4" i="54" s="1"/>
  <c r="I2" i="54"/>
  <c r="A2" i="54"/>
  <c r="I1" i="54"/>
  <c r="A1" i="54"/>
  <c r="AA2" i="53"/>
  <c r="U2" i="53"/>
  <c r="U4" i="53" s="1"/>
  <c r="V4" i="53" s="1"/>
  <c r="I2" i="53"/>
  <c r="A2" i="53"/>
  <c r="A1" i="53"/>
  <c r="I1" i="53" s="1"/>
  <c r="U2" i="56"/>
  <c r="U4" i="56" s="1"/>
  <c r="V4" i="56" s="1"/>
  <c r="AA2" i="56"/>
  <c r="I2" i="56"/>
  <c r="A2" i="56"/>
  <c r="A1" i="56"/>
  <c r="I1" i="56" s="1"/>
  <c r="AA2" i="55"/>
  <c r="I2" i="55"/>
  <c r="A2" i="55"/>
  <c r="A1" i="55"/>
  <c r="I1" i="55" s="1"/>
  <c r="AA2" i="60"/>
  <c r="U2" i="60"/>
  <c r="U4" i="60" s="1"/>
  <c r="V4" i="60" s="1"/>
  <c r="I2" i="60"/>
  <c r="A2" i="60"/>
  <c r="I1" i="60"/>
  <c r="A1" i="60"/>
  <c r="AA2" i="59"/>
  <c r="U2" i="59"/>
  <c r="U4" i="59" s="1"/>
  <c r="V4" i="59" s="1"/>
  <c r="I2" i="59"/>
  <c r="A2" i="59"/>
  <c r="A1" i="59"/>
  <c r="I1" i="59" s="1"/>
  <c r="U2" i="58"/>
  <c r="U4" i="58" s="1"/>
  <c r="V4" i="58" s="1"/>
  <c r="AA2" i="58"/>
  <c r="I2" i="58"/>
  <c r="A2" i="58"/>
  <c r="I1" i="58"/>
  <c r="A1" i="58"/>
  <c r="I2" i="57"/>
  <c r="I1" i="57"/>
  <c r="A2" i="57"/>
  <c r="A1" i="57"/>
  <c r="AA2" i="57"/>
  <c r="U2" i="57"/>
  <c r="U4" i="57" s="1"/>
  <c r="V4" i="57" s="1"/>
  <c r="Q64" i="35"/>
  <c r="Q63" i="35"/>
  <c r="Q62" i="35"/>
  <c r="Q61" i="35"/>
  <c r="Q60" i="35"/>
  <c r="P64" i="35"/>
  <c r="O64" i="35"/>
  <c r="N64" i="35"/>
  <c r="M64" i="35"/>
  <c r="L64" i="35"/>
  <c r="K64" i="35"/>
  <c r="P63" i="35"/>
  <c r="O63" i="35"/>
  <c r="N63" i="35"/>
  <c r="M63" i="35"/>
  <c r="L63" i="35"/>
  <c r="K63" i="35"/>
  <c r="P61" i="35"/>
  <c r="O61" i="35"/>
  <c r="N61" i="35"/>
  <c r="M61" i="35"/>
  <c r="L61" i="35"/>
  <c r="K61" i="35"/>
  <c r="P60" i="35"/>
  <c r="O60" i="35"/>
  <c r="N60" i="35"/>
  <c r="M60" i="35"/>
  <c r="L60" i="35"/>
  <c r="K60" i="35"/>
  <c r="D60" i="35"/>
  <c r="E60" i="35"/>
  <c r="F60" i="35"/>
  <c r="G60" i="35"/>
  <c r="H60" i="35"/>
  <c r="D61" i="35"/>
  <c r="E61" i="35"/>
  <c r="F61" i="35"/>
  <c r="G61" i="35"/>
  <c r="H61" i="35"/>
  <c r="D63" i="35"/>
  <c r="E63" i="35"/>
  <c r="F63" i="35"/>
  <c r="G63" i="35"/>
  <c r="H63" i="35"/>
  <c r="D64" i="35"/>
  <c r="E64" i="35"/>
  <c r="F64" i="35"/>
  <c r="G64" i="35"/>
  <c r="H64" i="35"/>
  <c r="C64" i="35"/>
  <c r="C63" i="35"/>
  <c r="C61" i="35"/>
  <c r="C60" i="35"/>
  <c r="I60" i="35"/>
  <c r="I61" i="35"/>
  <c r="J61" i="35"/>
  <c r="I62" i="35"/>
  <c r="J62" i="35"/>
  <c r="I63" i="35"/>
  <c r="J63" i="35"/>
  <c r="I64" i="35"/>
  <c r="J64" i="35"/>
  <c r="P56" i="35"/>
  <c r="O56" i="35"/>
  <c r="N56" i="35"/>
  <c r="M56" i="35"/>
  <c r="L56" i="35"/>
  <c r="K56" i="35"/>
  <c r="D56" i="35"/>
  <c r="E56" i="35"/>
  <c r="F56" i="35"/>
  <c r="G56" i="35"/>
  <c r="H56" i="35"/>
  <c r="C56" i="35"/>
  <c r="P29" i="35"/>
  <c r="O29" i="35"/>
  <c r="N29" i="35"/>
  <c r="M29" i="35"/>
  <c r="L29" i="35"/>
  <c r="K29" i="35"/>
  <c r="D29" i="35"/>
  <c r="E29" i="35"/>
  <c r="F29" i="35"/>
  <c r="G29" i="35"/>
  <c r="H29" i="35"/>
  <c r="C29" i="35"/>
  <c r="P23" i="35"/>
  <c r="O23" i="35"/>
  <c r="N23" i="35"/>
  <c r="M23" i="35"/>
  <c r="L23" i="35"/>
  <c r="K23" i="35"/>
  <c r="H23" i="35"/>
  <c r="G23" i="35"/>
  <c r="F23" i="35"/>
  <c r="E23" i="35"/>
  <c r="D23" i="35"/>
  <c r="C23" i="35"/>
  <c r="P22" i="35"/>
  <c r="O22" i="35"/>
  <c r="N22" i="35"/>
  <c r="M22" i="35"/>
  <c r="L22" i="35"/>
  <c r="K22" i="35"/>
  <c r="H22" i="35"/>
  <c r="G22" i="35"/>
  <c r="F22" i="35"/>
  <c r="E22" i="35"/>
  <c r="D22" i="35"/>
  <c r="C22" i="35"/>
  <c r="P27" i="35"/>
  <c r="P30" i="35" s="1"/>
  <c r="O27" i="35"/>
  <c r="N27" i="35"/>
  <c r="M27" i="35"/>
  <c r="L27" i="35"/>
  <c r="K27" i="35"/>
  <c r="H27" i="35"/>
  <c r="H30" i="35" s="1"/>
  <c r="G27" i="35"/>
  <c r="G30" i="35" s="1"/>
  <c r="F27" i="35"/>
  <c r="F30" i="35" s="1"/>
  <c r="E27" i="35"/>
  <c r="D27" i="35"/>
  <c r="D30" i="35" s="1"/>
  <c r="C27" i="35"/>
  <c r="B63" i="35"/>
  <c r="B62" i="35"/>
  <c r="B61" i="35"/>
  <c r="B46" i="35"/>
  <c r="B24" i="35"/>
  <c r="A64" i="35"/>
  <c r="A63" i="35"/>
  <c r="A62" i="35"/>
  <c r="A61" i="35"/>
  <c r="A60" i="35"/>
  <c r="A46" i="35"/>
  <c r="A45" i="35"/>
  <c r="B45" i="35" s="1"/>
  <c r="A44" i="35"/>
  <c r="A43" i="35"/>
  <c r="A42" i="35"/>
  <c r="A30" i="35"/>
  <c r="B30" i="35" s="1"/>
  <c r="A29" i="35"/>
  <c r="B29" i="35" s="1"/>
  <c r="A28" i="35"/>
  <c r="B28" i="35" s="1"/>
  <c r="A27" i="35"/>
  <c r="B27" i="35" s="1"/>
  <c r="A26" i="35"/>
  <c r="B26" i="35" s="1"/>
  <c r="A25" i="35"/>
  <c r="B25" i="35" s="1"/>
  <c r="J25" i="35" s="1"/>
  <c r="A24" i="35"/>
  <c r="A23" i="35"/>
  <c r="B23" i="35" s="1"/>
  <c r="A22" i="35"/>
  <c r="B22" i="35" s="1"/>
  <c r="I15" i="35"/>
  <c r="L14" i="35"/>
  <c r="M14" i="35" s="1"/>
  <c r="M15" i="35" s="1"/>
  <c r="I14" i="35"/>
  <c r="I13" i="35"/>
  <c r="M12" i="35"/>
  <c r="I12" i="35"/>
  <c r="Q10" i="35"/>
  <c r="N10" i="35"/>
  <c r="H10" i="35"/>
  <c r="I10" i="35" s="1"/>
  <c r="N9" i="35"/>
  <c r="L9" i="35"/>
  <c r="M9" i="35" s="1"/>
  <c r="M10" i="35" s="1"/>
  <c r="I9" i="35"/>
  <c r="Q7" i="35"/>
  <c r="N7" i="35"/>
  <c r="M7" i="35"/>
  <c r="I7" i="35"/>
  <c r="N6" i="35"/>
  <c r="F17" i="35"/>
  <c r="AD10" i="35"/>
  <c r="AD8" i="35" s="1"/>
  <c r="AD9" i="35"/>
  <c r="AC6" i="35"/>
  <c r="Z13" i="35"/>
  <c r="Z12" i="35"/>
  <c r="Z14" i="35" s="1"/>
  <c r="Z11" i="35"/>
  <c r="Z7" i="35"/>
  <c r="Z6" i="35"/>
  <c r="Y9" i="35" s="1"/>
  <c r="Y12" i="35"/>
  <c r="Y11" i="35"/>
  <c r="Y13" i="35"/>
  <c r="U2" i="35" s="1"/>
  <c r="C30" i="35" l="1"/>
  <c r="M30" i="35"/>
  <c r="N30" i="35"/>
  <c r="O30" i="35"/>
  <c r="D43" i="60"/>
  <c r="W34" i="54"/>
  <c r="W45" i="54" s="1"/>
  <c r="C73" i="54"/>
  <c r="C37" i="54"/>
  <c r="D55" i="54"/>
  <c r="D27" i="54"/>
  <c r="D29" i="54"/>
  <c r="D67" i="54"/>
  <c r="D69" i="54"/>
  <c r="C70" i="54"/>
  <c r="C79" i="54" s="1"/>
  <c r="C77" i="54" s="1"/>
  <c r="W34" i="53"/>
  <c r="W45" i="53" s="1"/>
  <c r="C73" i="53"/>
  <c r="C37" i="53"/>
  <c r="D55" i="53"/>
  <c r="D27" i="53"/>
  <c r="D29" i="53"/>
  <c r="D67" i="53"/>
  <c r="D69" i="53"/>
  <c r="C37" i="56"/>
  <c r="D55" i="56"/>
  <c r="D27" i="56"/>
  <c r="D29" i="56"/>
  <c r="D67" i="56"/>
  <c r="D69" i="56"/>
  <c r="D30" i="56"/>
  <c r="W34" i="56"/>
  <c r="W45" i="56" s="1"/>
  <c r="C73" i="56"/>
  <c r="C73" i="55"/>
  <c r="D55" i="55"/>
  <c r="D27" i="55"/>
  <c r="D29" i="55"/>
  <c r="D67" i="55"/>
  <c r="D69" i="55"/>
  <c r="C30" i="55"/>
  <c r="C37" i="55" s="1"/>
  <c r="E73" i="60"/>
  <c r="E37" i="60"/>
  <c r="D73" i="60"/>
  <c r="C70" i="60"/>
  <c r="C79" i="60" s="1"/>
  <c r="C77" i="60" s="1"/>
  <c r="D77" i="60" s="1"/>
  <c r="E77" i="60" s="1"/>
  <c r="F67" i="60"/>
  <c r="F29" i="60"/>
  <c r="F69" i="60"/>
  <c r="F30" i="60"/>
  <c r="F55" i="60"/>
  <c r="F27" i="60"/>
  <c r="W34" i="60"/>
  <c r="W45" i="60" s="1"/>
  <c r="C73" i="60"/>
  <c r="C37" i="60"/>
  <c r="D55" i="59"/>
  <c r="D27" i="59"/>
  <c r="D30" i="59" s="1"/>
  <c r="D29" i="59"/>
  <c r="D69" i="59"/>
  <c r="D67" i="59"/>
  <c r="C73" i="59"/>
  <c r="C30" i="59"/>
  <c r="C37" i="59" s="1"/>
  <c r="W34" i="59"/>
  <c r="W45" i="59" s="1"/>
  <c r="C43" i="58"/>
  <c r="C42" i="58"/>
  <c r="W34" i="58"/>
  <c r="W45" i="58" s="1"/>
  <c r="C73" i="58"/>
  <c r="D55" i="58"/>
  <c r="D27" i="58"/>
  <c r="D30" i="58" s="1"/>
  <c r="D29" i="58"/>
  <c r="D67" i="58"/>
  <c r="D69" i="58"/>
  <c r="C70" i="58"/>
  <c r="C79" i="58" s="1"/>
  <c r="C77" i="58" s="1"/>
  <c r="D55" i="57"/>
  <c r="D27" i="57"/>
  <c r="D67" i="57"/>
  <c r="D29" i="57"/>
  <c r="D69" i="57"/>
  <c r="C73" i="57"/>
  <c r="W34" i="57"/>
  <c r="W45" i="57" s="1"/>
  <c r="C37" i="57"/>
  <c r="K30" i="35"/>
  <c r="K37" i="35" s="1"/>
  <c r="L30" i="35"/>
  <c r="L70" i="35" s="1"/>
  <c r="E30" i="35"/>
  <c r="E70" i="35" s="1"/>
  <c r="K14" i="35"/>
  <c r="K9" i="35"/>
  <c r="C70" i="35"/>
  <c r="M70" i="35"/>
  <c r="P70" i="35"/>
  <c r="I8" i="35"/>
  <c r="U2" i="55"/>
  <c r="S24" i="35"/>
  <c r="W25" i="35" s="1"/>
  <c r="O70" i="35"/>
  <c r="N70" i="35"/>
  <c r="H37" i="35"/>
  <c r="D70" i="35"/>
  <c r="F70" i="35"/>
  <c r="G37" i="35"/>
  <c r="H70" i="35"/>
  <c r="G70" i="35"/>
  <c r="C37" i="35"/>
  <c r="D37" i="35"/>
  <c r="N37" i="35"/>
  <c r="M37" i="35"/>
  <c r="O37" i="35"/>
  <c r="F37" i="35"/>
  <c r="P37" i="35"/>
  <c r="AD6" i="35"/>
  <c r="AD7" i="35"/>
  <c r="E10" i="35"/>
  <c r="Q4" i="35"/>
  <c r="H4" i="35"/>
  <c r="L11" i="26"/>
  <c r="L8" i="26"/>
  <c r="H6" i="26"/>
  <c r="K70" i="35" l="1"/>
  <c r="L37" i="35"/>
  <c r="T9" i="35"/>
  <c r="A41" i="35" s="1"/>
  <c r="C43" i="54"/>
  <c r="C42" i="54"/>
  <c r="C80" i="54"/>
  <c r="C38" i="54" s="1"/>
  <c r="C39" i="54" s="1"/>
  <c r="C74" i="54"/>
  <c r="C71" i="54"/>
  <c r="D30" i="54"/>
  <c r="D73" i="54"/>
  <c r="E29" i="54"/>
  <c r="E67" i="54"/>
  <c r="E55" i="54"/>
  <c r="E27" i="54"/>
  <c r="E69" i="54"/>
  <c r="C43" i="53"/>
  <c r="C42" i="53"/>
  <c r="D30" i="53"/>
  <c r="D37" i="53" s="1"/>
  <c r="D73" i="53"/>
  <c r="C80" i="53"/>
  <c r="C38" i="53" s="1"/>
  <c r="C39" i="53" s="1"/>
  <c r="C74" i="53"/>
  <c r="C71" i="53"/>
  <c r="E29" i="53"/>
  <c r="E67" i="53"/>
  <c r="E55" i="53"/>
  <c r="E27" i="53"/>
  <c r="E30" i="53" s="1"/>
  <c r="E69" i="53"/>
  <c r="D73" i="56"/>
  <c r="E29" i="56"/>
  <c r="E67" i="56"/>
  <c r="E69" i="56"/>
  <c r="E55" i="56"/>
  <c r="E27" i="56"/>
  <c r="E30" i="56" s="1"/>
  <c r="C80" i="56"/>
  <c r="C38" i="56" s="1"/>
  <c r="C39" i="56" s="1"/>
  <c r="C74" i="56"/>
  <c r="C71" i="56"/>
  <c r="D70" i="56"/>
  <c r="D79" i="56" s="1"/>
  <c r="D77" i="56" s="1"/>
  <c r="D37" i="56"/>
  <c r="C43" i="56"/>
  <c r="C42" i="56"/>
  <c r="C70" i="55"/>
  <c r="C79" i="55" s="1"/>
  <c r="C77" i="55" s="1"/>
  <c r="U4" i="55"/>
  <c r="V4" i="55" s="1"/>
  <c r="W34" i="55"/>
  <c r="W45" i="55" s="1"/>
  <c r="P1" i="55" s="1"/>
  <c r="D30" i="55"/>
  <c r="D37" i="55" s="1"/>
  <c r="D73" i="55"/>
  <c r="C43" i="55"/>
  <c r="C42" i="55"/>
  <c r="E29" i="55"/>
  <c r="E67" i="55"/>
  <c r="E69" i="55"/>
  <c r="E55" i="55"/>
  <c r="E27" i="55"/>
  <c r="C80" i="55"/>
  <c r="C38" i="55" s="1"/>
  <c r="C74" i="55"/>
  <c r="C71" i="55"/>
  <c r="G67" i="60"/>
  <c r="G69" i="60"/>
  <c r="G55" i="60"/>
  <c r="G27" i="60"/>
  <c r="G29" i="60"/>
  <c r="F70" i="60"/>
  <c r="F79" i="60" s="1"/>
  <c r="F77" i="60" s="1"/>
  <c r="F37" i="60"/>
  <c r="D80" i="60"/>
  <c r="D38" i="60" s="1"/>
  <c r="D71" i="60"/>
  <c r="E43" i="60"/>
  <c r="E42" i="60"/>
  <c r="C43" i="60"/>
  <c r="C42" i="60"/>
  <c r="E80" i="60"/>
  <c r="E38" i="60" s="1"/>
  <c r="E39" i="60" s="1"/>
  <c r="E71" i="60"/>
  <c r="C80" i="60"/>
  <c r="C38" i="60" s="1"/>
  <c r="C39" i="60" s="1"/>
  <c r="C74" i="60"/>
  <c r="D74" i="60" s="1"/>
  <c r="E74" i="60" s="1"/>
  <c r="C71" i="60"/>
  <c r="F73" i="60"/>
  <c r="C43" i="59"/>
  <c r="C42" i="59"/>
  <c r="D73" i="59"/>
  <c r="C70" i="59"/>
  <c r="C79" i="59" s="1"/>
  <c r="C77" i="59" s="1"/>
  <c r="E29" i="59"/>
  <c r="E55" i="59"/>
  <c r="E27" i="59"/>
  <c r="E67" i="59"/>
  <c r="E69" i="59"/>
  <c r="D70" i="59"/>
  <c r="D79" i="59" s="1"/>
  <c r="D37" i="59"/>
  <c r="C80" i="59"/>
  <c r="C38" i="59" s="1"/>
  <c r="C39" i="59" s="1"/>
  <c r="C74" i="59"/>
  <c r="C71" i="59"/>
  <c r="C80" i="58"/>
  <c r="C38" i="58" s="1"/>
  <c r="C74" i="58"/>
  <c r="C71" i="58"/>
  <c r="D73" i="58"/>
  <c r="E29" i="58"/>
  <c r="E67" i="58"/>
  <c r="E55" i="58"/>
  <c r="E69" i="58"/>
  <c r="E27" i="58"/>
  <c r="D70" i="58"/>
  <c r="D79" i="58" s="1"/>
  <c r="D77" i="58" s="1"/>
  <c r="D37" i="58"/>
  <c r="E29" i="57"/>
  <c r="E67" i="57"/>
  <c r="E55" i="57"/>
  <c r="E27" i="57"/>
  <c r="E30" i="57" s="1"/>
  <c r="E69" i="57"/>
  <c r="C43" i="57"/>
  <c r="C42" i="57"/>
  <c r="D30" i="57"/>
  <c r="D37" i="57" s="1"/>
  <c r="D73" i="57"/>
  <c r="C80" i="57"/>
  <c r="C38" i="57" s="1"/>
  <c r="C39" i="57" s="1"/>
  <c r="C74" i="57"/>
  <c r="C71" i="57"/>
  <c r="E37" i="35"/>
  <c r="P1" i="58"/>
  <c r="P1" i="53"/>
  <c r="P1" i="56"/>
  <c r="P1" i="60"/>
  <c r="G1" i="59"/>
  <c r="C76" i="54" l="1"/>
  <c r="D74" i="57"/>
  <c r="C76" i="59"/>
  <c r="C76" i="56"/>
  <c r="C76" i="53"/>
  <c r="C76" i="55"/>
  <c r="F74" i="60"/>
  <c r="D70" i="55"/>
  <c r="D79" i="55" s="1"/>
  <c r="D77" i="55" s="1"/>
  <c r="E30" i="54"/>
  <c r="D80" i="54"/>
  <c r="D38" i="54" s="1"/>
  <c r="D71" i="54"/>
  <c r="C40" i="54"/>
  <c r="C45" i="54"/>
  <c r="C81" i="54"/>
  <c r="E73" i="54"/>
  <c r="D74" i="54"/>
  <c r="E70" i="54"/>
  <c r="E79" i="54" s="1"/>
  <c r="E37" i="54"/>
  <c r="F67" i="54"/>
  <c r="F69" i="54"/>
  <c r="F29" i="54"/>
  <c r="F55" i="54"/>
  <c r="F27" i="54"/>
  <c r="C41" i="54"/>
  <c r="D37" i="54"/>
  <c r="D70" i="54"/>
  <c r="D79" i="54" s="1"/>
  <c r="D77" i="54" s="1"/>
  <c r="C45" i="53"/>
  <c r="C40" i="53"/>
  <c r="C81" i="53"/>
  <c r="D43" i="53"/>
  <c r="D42" i="53"/>
  <c r="F67" i="53"/>
  <c r="F29" i="53"/>
  <c r="F69" i="53"/>
  <c r="F55" i="53"/>
  <c r="F27" i="53"/>
  <c r="D74" i="53"/>
  <c r="C41" i="53"/>
  <c r="E70" i="53"/>
  <c r="E79" i="53" s="1"/>
  <c r="E37" i="53"/>
  <c r="D80" i="53"/>
  <c r="D38" i="53" s="1"/>
  <c r="D39" i="53" s="1"/>
  <c r="D71" i="53"/>
  <c r="E73" i="53"/>
  <c r="D70" i="53"/>
  <c r="D79" i="53" s="1"/>
  <c r="D77" i="53" s="1"/>
  <c r="D43" i="56"/>
  <c r="D42" i="56"/>
  <c r="F67" i="56"/>
  <c r="F29" i="56"/>
  <c r="F69" i="56"/>
  <c r="F55" i="56"/>
  <c r="F27" i="56"/>
  <c r="D74" i="56"/>
  <c r="E73" i="56"/>
  <c r="C45" i="56"/>
  <c r="C40" i="56"/>
  <c r="C81" i="56"/>
  <c r="D80" i="56"/>
  <c r="D38" i="56" s="1"/>
  <c r="D39" i="56" s="1"/>
  <c r="D71" i="56"/>
  <c r="C41" i="56"/>
  <c r="E70" i="56"/>
  <c r="E79" i="56" s="1"/>
  <c r="E77" i="56" s="1"/>
  <c r="E37" i="56"/>
  <c r="D43" i="55"/>
  <c r="D42" i="55"/>
  <c r="D74" i="55"/>
  <c r="E73" i="55"/>
  <c r="F67" i="55"/>
  <c r="F29" i="55"/>
  <c r="F69" i="55"/>
  <c r="F55" i="55"/>
  <c r="F27" i="55"/>
  <c r="F30" i="55" s="1"/>
  <c r="E30" i="55"/>
  <c r="C39" i="55"/>
  <c r="C41" i="55" s="1"/>
  <c r="D80" i="55"/>
  <c r="D38" i="55" s="1"/>
  <c r="D39" i="55" s="1"/>
  <c r="D71" i="55"/>
  <c r="F80" i="60"/>
  <c r="F38" i="60" s="1"/>
  <c r="F39" i="60" s="1"/>
  <c r="F71" i="60"/>
  <c r="D76" i="60"/>
  <c r="C76" i="60"/>
  <c r="D39" i="60"/>
  <c r="G30" i="60"/>
  <c r="G70" i="60" s="1"/>
  <c r="G79" i="60" s="1"/>
  <c r="G77" i="60" s="1"/>
  <c r="E40" i="60"/>
  <c r="E45" i="60"/>
  <c r="E81" i="60"/>
  <c r="C41" i="60"/>
  <c r="H69" i="60"/>
  <c r="H30" i="60"/>
  <c r="H67" i="60"/>
  <c r="H55" i="60"/>
  <c r="H27" i="60"/>
  <c r="H29" i="60"/>
  <c r="E76" i="60"/>
  <c r="F43" i="60"/>
  <c r="F42" i="60"/>
  <c r="G73" i="60"/>
  <c r="C40" i="60"/>
  <c r="C45" i="60"/>
  <c r="C81" i="60"/>
  <c r="E41" i="60"/>
  <c r="E73" i="59"/>
  <c r="D71" i="59"/>
  <c r="D80" i="59"/>
  <c r="D38" i="59" s="1"/>
  <c r="D74" i="59"/>
  <c r="D77" i="59"/>
  <c r="C41" i="59"/>
  <c r="E30" i="59"/>
  <c r="E37" i="59" s="1"/>
  <c r="D43" i="59"/>
  <c r="D42" i="59"/>
  <c r="F67" i="59"/>
  <c r="F29" i="59"/>
  <c r="F27" i="59"/>
  <c r="F30" i="59" s="1"/>
  <c r="F69" i="59"/>
  <c r="F55" i="59"/>
  <c r="C45" i="59"/>
  <c r="C40" i="59"/>
  <c r="C81" i="59"/>
  <c r="E73" i="58"/>
  <c r="F67" i="58"/>
  <c r="F29" i="58"/>
  <c r="F69" i="58"/>
  <c r="F55" i="58"/>
  <c r="F27" i="58"/>
  <c r="E30" i="58"/>
  <c r="C76" i="58"/>
  <c r="D80" i="58"/>
  <c r="D38" i="58" s="1"/>
  <c r="D71" i="58"/>
  <c r="D74" i="58"/>
  <c r="D43" i="58"/>
  <c r="D42" i="58"/>
  <c r="C39" i="58"/>
  <c r="D43" i="57"/>
  <c r="D42" i="57"/>
  <c r="D80" i="57"/>
  <c r="D38" i="57" s="1"/>
  <c r="D71" i="57"/>
  <c r="D76" i="57" s="1"/>
  <c r="E70" i="57"/>
  <c r="E79" i="57" s="1"/>
  <c r="E37" i="57"/>
  <c r="E73" i="57"/>
  <c r="D70" i="57"/>
  <c r="D79" i="57" s="1"/>
  <c r="D77" i="57" s="1"/>
  <c r="C76" i="57"/>
  <c r="F67" i="57"/>
  <c r="F29" i="57"/>
  <c r="F69" i="57"/>
  <c r="F30" i="57"/>
  <c r="F55" i="57"/>
  <c r="F27" i="57"/>
  <c r="C45" i="57"/>
  <c r="C40" i="57"/>
  <c r="C81" i="57"/>
  <c r="C41" i="57"/>
  <c r="G1" i="58"/>
  <c r="G1" i="56"/>
  <c r="G1" i="53"/>
  <c r="P1" i="54"/>
  <c r="G1" i="54"/>
  <c r="G1" i="55"/>
  <c r="G1" i="60"/>
  <c r="P1" i="59"/>
  <c r="P1" i="57"/>
  <c r="G1" i="57"/>
  <c r="E77" i="53" l="1"/>
  <c r="D76" i="53"/>
  <c r="E74" i="57"/>
  <c r="E74" i="59"/>
  <c r="G74" i="60"/>
  <c r="D76" i="55"/>
  <c r="E74" i="54"/>
  <c r="F76" i="60"/>
  <c r="E74" i="53"/>
  <c r="E74" i="56"/>
  <c r="D76" i="59"/>
  <c r="E74" i="58"/>
  <c r="E77" i="54"/>
  <c r="E77" i="57"/>
  <c r="E43" i="54"/>
  <c r="E42" i="54"/>
  <c r="E80" i="54"/>
  <c r="E38" i="54" s="1"/>
  <c r="E71" i="54"/>
  <c r="F30" i="54"/>
  <c r="F70" i="54" s="1"/>
  <c r="F79" i="54" s="1"/>
  <c r="D76" i="54"/>
  <c r="D39" i="54"/>
  <c r="D41" i="54" s="1"/>
  <c r="D43" i="54"/>
  <c r="D42" i="54"/>
  <c r="F73" i="54"/>
  <c r="G67" i="54"/>
  <c r="G69" i="54"/>
  <c r="G30" i="54"/>
  <c r="G55" i="54"/>
  <c r="G27" i="54"/>
  <c r="G29" i="54"/>
  <c r="D40" i="53"/>
  <c r="D45" i="53"/>
  <c r="D81" i="53"/>
  <c r="F30" i="53"/>
  <c r="F70" i="53" s="1"/>
  <c r="F79" i="53" s="1"/>
  <c r="F77" i="53" s="1"/>
  <c r="D41" i="53"/>
  <c r="E80" i="53"/>
  <c r="E38" i="53" s="1"/>
  <c r="E71" i="53"/>
  <c r="F73" i="53"/>
  <c r="G67" i="53"/>
  <c r="G69" i="53"/>
  <c r="G30" i="53"/>
  <c r="G55" i="53"/>
  <c r="G27" i="53"/>
  <c r="G29" i="53"/>
  <c r="E39" i="53"/>
  <c r="E43" i="53"/>
  <c r="E42" i="53"/>
  <c r="D40" i="56"/>
  <c r="D45" i="56"/>
  <c r="D81" i="56"/>
  <c r="E43" i="56"/>
  <c r="E42" i="56"/>
  <c r="F30" i="56"/>
  <c r="F70" i="56" s="1"/>
  <c r="F79" i="56" s="1"/>
  <c r="F77" i="56" s="1"/>
  <c r="G67" i="56"/>
  <c r="G69" i="56"/>
  <c r="G30" i="56"/>
  <c r="G55" i="56"/>
  <c r="G27" i="56"/>
  <c r="G29" i="56"/>
  <c r="E80" i="56"/>
  <c r="E38" i="56" s="1"/>
  <c r="E39" i="56" s="1"/>
  <c r="E71" i="56"/>
  <c r="D76" i="56"/>
  <c r="D41" i="56"/>
  <c r="F73" i="56"/>
  <c r="F74" i="56" s="1"/>
  <c r="D41" i="55"/>
  <c r="E37" i="55"/>
  <c r="G67" i="55"/>
  <c r="G69" i="55"/>
  <c r="G30" i="55"/>
  <c r="G27" i="55"/>
  <c r="G55" i="55"/>
  <c r="G29" i="55"/>
  <c r="E74" i="55"/>
  <c r="F73" i="55"/>
  <c r="E70" i="55"/>
  <c r="E79" i="55" s="1"/>
  <c r="E77" i="55" s="1"/>
  <c r="D40" i="55"/>
  <c r="D45" i="55"/>
  <c r="D81" i="55"/>
  <c r="C40" i="55"/>
  <c r="C45" i="55"/>
  <c r="C81" i="55"/>
  <c r="F70" i="55"/>
  <c r="F79" i="55" s="1"/>
  <c r="F37" i="55"/>
  <c r="E80" i="55"/>
  <c r="E38" i="55" s="1"/>
  <c r="E71" i="55"/>
  <c r="F40" i="60"/>
  <c r="F45" i="60"/>
  <c r="F81" i="60"/>
  <c r="H73" i="60"/>
  <c r="K27" i="60"/>
  <c r="K69" i="60"/>
  <c r="K55" i="60"/>
  <c r="K29" i="60"/>
  <c r="K67" i="60"/>
  <c r="D40" i="60"/>
  <c r="D45" i="60"/>
  <c r="D81" i="60"/>
  <c r="G80" i="60"/>
  <c r="G38" i="60" s="1"/>
  <c r="G71" i="60"/>
  <c r="D41" i="60"/>
  <c r="F41" i="60"/>
  <c r="H37" i="60"/>
  <c r="H70" i="60"/>
  <c r="H79" i="60" s="1"/>
  <c r="H77" i="60" s="1"/>
  <c r="G37" i="60"/>
  <c r="G67" i="59"/>
  <c r="G29" i="59"/>
  <c r="G69" i="59"/>
  <c r="G55" i="59"/>
  <c r="G27" i="59"/>
  <c r="D39" i="59"/>
  <c r="E80" i="59"/>
  <c r="E38" i="59" s="1"/>
  <c r="E39" i="59" s="1"/>
  <c r="E71" i="59"/>
  <c r="E76" i="59" s="1"/>
  <c r="F70" i="59"/>
  <c r="F79" i="59" s="1"/>
  <c r="F37" i="59"/>
  <c r="F73" i="59"/>
  <c r="E70" i="59"/>
  <c r="E79" i="59" s="1"/>
  <c r="E77" i="59" s="1"/>
  <c r="E43" i="59"/>
  <c r="E42" i="59"/>
  <c r="D39" i="58"/>
  <c r="E70" i="58"/>
  <c r="E79" i="58" s="1"/>
  <c r="E77" i="58" s="1"/>
  <c r="E80" i="58"/>
  <c r="E38" i="58" s="1"/>
  <c r="E71" i="58"/>
  <c r="F73" i="58"/>
  <c r="G67" i="58"/>
  <c r="G69" i="58"/>
  <c r="G55" i="58"/>
  <c r="G27" i="58"/>
  <c r="G29" i="58"/>
  <c r="E37" i="58"/>
  <c r="C40" i="58"/>
  <c r="C45" i="58"/>
  <c r="C81" i="58"/>
  <c r="C41" i="58"/>
  <c r="D76" i="58"/>
  <c r="F30" i="58"/>
  <c r="F70" i="58" s="1"/>
  <c r="F79" i="58" s="1"/>
  <c r="F70" i="57"/>
  <c r="F79" i="57" s="1"/>
  <c r="F37" i="57"/>
  <c r="E80" i="57"/>
  <c r="E38" i="57" s="1"/>
  <c r="E71" i="57"/>
  <c r="F73" i="57"/>
  <c r="E43" i="57"/>
  <c r="E42" i="57"/>
  <c r="G67" i="57"/>
  <c r="G27" i="57"/>
  <c r="G69" i="57"/>
  <c r="G30" i="57"/>
  <c r="G55" i="57"/>
  <c r="G29" i="57"/>
  <c r="D39" i="57"/>
  <c r="D41" i="57" s="1"/>
  <c r="G76" i="60" l="1"/>
  <c r="E76" i="54"/>
  <c r="F74" i="54"/>
  <c r="E76" i="55"/>
  <c r="F77" i="54"/>
  <c r="E76" i="53"/>
  <c r="F77" i="59"/>
  <c r="F74" i="58"/>
  <c r="F74" i="57"/>
  <c r="E76" i="57"/>
  <c r="F74" i="55"/>
  <c r="F74" i="53"/>
  <c r="E76" i="56"/>
  <c r="E76" i="58"/>
  <c r="F77" i="55"/>
  <c r="F77" i="57"/>
  <c r="F37" i="54"/>
  <c r="H69" i="54"/>
  <c r="H55" i="54"/>
  <c r="H27" i="54"/>
  <c r="H29" i="54"/>
  <c r="H67" i="54"/>
  <c r="G73" i="54"/>
  <c r="G74" i="54" s="1"/>
  <c r="D40" i="54"/>
  <c r="D45" i="54"/>
  <c r="D81" i="54"/>
  <c r="E39" i="54"/>
  <c r="G70" i="54"/>
  <c r="G79" i="54" s="1"/>
  <c r="G37" i="54"/>
  <c r="F80" i="54"/>
  <c r="F38" i="54" s="1"/>
  <c r="F71" i="54"/>
  <c r="F76" i="54" s="1"/>
  <c r="F37" i="53"/>
  <c r="G73" i="53"/>
  <c r="E40" i="53"/>
  <c r="E45" i="53"/>
  <c r="E81" i="53"/>
  <c r="F80" i="53"/>
  <c r="F38" i="53" s="1"/>
  <c r="F71" i="53"/>
  <c r="H69" i="53"/>
  <c r="H55" i="53"/>
  <c r="H27" i="53"/>
  <c r="H29" i="53"/>
  <c r="H67" i="53"/>
  <c r="E41" i="53"/>
  <c r="G70" i="53"/>
  <c r="G79" i="53" s="1"/>
  <c r="G77" i="53" s="1"/>
  <c r="G37" i="53"/>
  <c r="E40" i="56"/>
  <c r="E45" i="56"/>
  <c r="E81" i="56"/>
  <c r="H69" i="56"/>
  <c r="H55" i="56"/>
  <c r="H27" i="56"/>
  <c r="H29" i="56"/>
  <c r="H67" i="56"/>
  <c r="F37" i="56"/>
  <c r="F80" i="56"/>
  <c r="F38" i="56" s="1"/>
  <c r="F71" i="56"/>
  <c r="F76" i="56" s="1"/>
  <c r="E41" i="56"/>
  <c r="G73" i="56"/>
  <c r="G74" i="56" s="1"/>
  <c r="G70" i="56"/>
  <c r="G79" i="56" s="1"/>
  <c r="G77" i="56" s="1"/>
  <c r="G37" i="56"/>
  <c r="F80" i="55"/>
  <c r="F38" i="55" s="1"/>
  <c r="F71" i="55"/>
  <c r="G73" i="55"/>
  <c r="E39" i="55"/>
  <c r="E41" i="55" s="1"/>
  <c r="E43" i="55"/>
  <c r="E42" i="55"/>
  <c r="F43" i="55"/>
  <c r="F42" i="55"/>
  <c r="H29" i="55"/>
  <c r="H69" i="55"/>
  <c r="H30" i="55"/>
  <c r="H55" i="55"/>
  <c r="H27" i="55"/>
  <c r="H67" i="55"/>
  <c r="G70" i="55"/>
  <c r="G79" i="55" s="1"/>
  <c r="G37" i="55"/>
  <c r="G43" i="60"/>
  <c r="G42" i="60"/>
  <c r="G39" i="60"/>
  <c r="H80" i="60"/>
  <c r="H38" i="60" s="1"/>
  <c r="H39" i="60" s="1"/>
  <c r="H71" i="60"/>
  <c r="K73" i="60"/>
  <c r="L27" i="60"/>
  <c r="L69" i="60"/>
  <c r="L55" i="60"/>
  <c r="L29" i="60"/>
  <c r="L67" i="60"/>
  <c r="L30" i="60"/>
  <c r="K30" i="60"/>
  <c r="K37" i="60" s="1"/>
  <c r="H43" i="60"/>
  <c r="H42" i="60"/>
  <c r="H74" i="60"/>
  <c r="E41" i="59"/>
  <c r="G30" i="59"/>
  <c r="G37" i="59" s="1"/>
  <c r="F80" i="59"/>
  <c r="F38" i="59" s="1"/>
  <c r="F71" i="59"/>
  <c r="F74" i="59"/>
  <c r="D40" i="59"/>
  <c r="D45" i="59"/>
  <c r="D81" i="59"/>
  <c r="G73" i="59"/>
  <c r="D41" i="59"/>
  <c r="F43" i="59"/>
  <c r="F42" i="59"/>
  <c r="H69" i="59"/>
  <c r="H30" i="59"/>
  <c r="H55" i="59"/>
  <c r="H27" i="59"/>
  <c r="H67" i="59"/>
  <c r="H29" i="59"/>
  <c r="E40" i="59"/>
  <c r="E45" i="59"/>
  <c r="E81" i="59"/>
  <c r="F77" i="58"/>
  <c r="G30" i="58"/>
  <c r="G70" i="58" s="1"/>
  <c r="G79" i="58" s="1"/>
  <c r="D40" i="58"/>
  <c r="D45" i="58"/>
  <c r="D81" i="58"/>
  <c r="H69" i="58"/>
  <c r="H30" i="58"/>
  <c r="H55" i="58"/>
  <c r="H27" i="58"/>
  <c r="H29" i="58"/>
  <c r="H67" i="58"/>
  <c r="E39" i="58"/>
  <c r="E41" i="58" s="1"/>
  <c r="E43" i="58"/>
  <c r="E42" i="58"/>
  <c r="F37" i="58"/>
  <c r="G73" i="58"/>
  <c r="D41" i="58"/>
  <c r="F80" i="58"/>
  <c r="F38" i="58" s="1"/>
  <c r="F71" i="58"/>
  <c r="G70" i="57"/>
  <c r="G79" i="57" s="1"/>
  <c r="G37" i="57"/>
  <c r="F80" i="57"/>
  <c r="F38" i="57" s="1"/>
  <c r="F39" i="57" s="1"/>
  <c r="F71" i="57"/>
  <c r="G73" i="57"/>
  <c r="F43" i="57"/>
  <c r="F42" i="57"/>
  <c r="D40" i="57"/>
  <c r="D45" i="57"/>
  <c r="D81" i="57"/>
  <c r="E39" i="57"/>
  <c r="H69" i="57"/>
  <c r="H55" i="57"/>
  <c r="H27" i="57"/>
  <c r="H29" i="57"/>
  <c r="H67" i="57"/>
  <c r="G70" i="59" l="1"/>
  <c r="G79" i="59" s="1"/>
  <c r="F76" i="53"/>
  <c r="K70" i="60"/>
  <c r="K79" i="60" s="1"/>
  <c r="K77" i="60" s="1"/>
  <c r="G74" i="55"/>
  <c r="F76" i="55"/>
  <c r="G77" i="54"/>
  <c r="G77" i="59"/>
  <c r="F76" i="58"/>
  <c r="F76" i="57"/>
  <c r="G77" i="57"/>
  <c r="G77" i="55"/>
  <c r="G74" i="59"/>
  <c r="H30" i="54"/>
  <c r="H70" i="54" s="1"/>
  <c r="H79" i="54" s="1"/>
  <c r="H77" i="54" s="1"/>
  <c r="H73" i="54"/>
  <c r="H74" i="54" s="1"/>
  <c r="K27" i="54"/>
  <c r="K69" i="54"/>
  <c r="K55" i="54"/>
  <c r="K29" i="54"/>
  <c r="K67" i="54"/>
  <c r="E40" i="54"/>
  <c r="E45" i="54"/>
  <c r="E81" i="54"/>
  <c r="G43" i="54"/>
  <c r="G42" i="54"/>
  <c r="E41" i="54"/>
  <c r="G80" i="54"/>
  <c r="G38" i="54" s="1"/>
  <c r="G39" i="54" s="1"/>
  <c r="G71" i="54"/>
  <c r="G76" i="54" s="1"/>
  <c r="F39" i="54"/>
  <c r="F43" i="54"/>
  <c r="F42" i="54"/>
  <c r="K27" i="53"/>
  <c r="K69" i="53"/>
  <c r="K55" i="53"/>
  <c r="K29" i="53"/>
  <c r="K30" i="53" s="1"/>
  <c r="K67" i="53"/>
  <c r="G80" i="53"/>
  <c r="G38" i="53" s="1"/>
  <c r="G39" i="53" s="1"/>
  <c r="G71" i="53"/>
  <c r="H73" i="53"/>
  <c r="F39" i="53"/>
  <c r="F41" i="53" s="1"/>
  <c r="F43" i="53"/>
  <c r="F42" i="53"/>
  <c r="G43" i="53"/>
  <c r="G42" i="53"/>
  <c r="G74" i="53"/>
  <c r="H30" i="53"/>
  <c r="H37" i="53" s="1"/>
  <c r="F39" i="56"/>
  <c r="F41" i="56" s="1"/>
  <c r="F43" i="56"/>
  <c r="F42" i="56"/>
  <c r="H73" i="56"/>
  <c r="H74" i="56" s="1"/>
  <c r="G80" i="56"/>
  <c r="G38" i="56" s="1"/>
  <c r="G39" i="56" s="1"/>
  <c r="G71" i="56"/>
  <c r="G76" i="56" s="1"/>
  <c r="K30" i="56"/>
  <c r="K69" i="56"/>
  <c r="K55" i="56"/>
  <c r="K29" i="56"/>
  <c r="K27" i="56"/>
  <c r="K67" i="56"/>
  <c r="G43" i="56"/>
  <c r="G42" i="56"/>
  <c r="H30" i="56"/>
  <c r="H37" i="56" s="1"/>
  <c r="K27" i="55"/>
  <c r="K69" i="55"/>
  <c r="K55" i="55"/>
  <c r="K29" i="55"/>
  <c r="K67" i="55"/>
  <c r="E40" i="55"/>
  <c r="E45" i="55"/>
  <c r="E81" i="55"/>
  <c r="H73" i="55"/>
  <c r="H74" i="55" s="1"/>
  <c r="H37" i="55"/>
  <c r="H70" i="55"/>
  <c r="H79" i="55" s="1"/>
  <c r="G43" i="55"/>
  <c r="G42" i="55"/>
  <c r="F39" i="55"/>
  <c r="G80" i="55"/>
  <c r="G38" i="55" s="1"/>
  <c r="G39" i="55" s="1"/>
  <c r="G71" i="55"/>
  <c r="G76" i="55" s="1"/>
  <c r="K42" i="60"/>
  <c r="K43" i="60"/>
  <c r="H45" i="60"/>
  <c r="H40" i="60"/>
  <c r="H81" i="60"/>
  <c r="M69" i="60"/>
  <c r="M55" i="60"/>
  <c r="M29" i="60"/>
  <c r="M67" i="60"/>
  <c r="M27" i="60"/>
  <c r="G40" i="60"/>
  <c r="G45" i="60"/>
  <c r="G81" i="60"/>
  <c r="H76" i="60"/>
  <c r="H41" i="60"/>
  <c r="K80" i="60"/>
  <c r="K38" i="60" s="1"/>
  <c r="K71" i="60"/>
  <c r="L73" i="60"/>
  <c r="L37" i="60"/>
  <c r="L70" i="60"/>
  <c r="L79" i="60" s="1"/>
  <c r="L77" i="60" s="1"/>
  <c r="G41" i="60"/>
  <c r="K74" i="60"/>
  <c r="G80" i="59"/>
  <c r="G38" i="59" s="1"/>
  <c r="G39" i="59" s="1"/>
  <c r="G71" i="59"/>
  <c r="F76" i="59"/>
  <c r="G43" i="59"/>
  <c r="G42" i="59"/>
  <c r="K27" i="59"/>
  <c r="K69" i="59"/>
  <c r="K55" i="59"/>
  <c r="K29" i="59"/>
  <c r="K67" i="59"/>
  <c r="H73" i="59"/>
  <c r="F39" i="59"/>
  <c r="F41" i="59" s="1"/>
  <c r="H70" i="59"/>
  <c r="H79" i="59" s="1"/>
  <c r="H77" i="59" s="1"/>
  <c r="H37" i="59"/>
  <c r="G77" i="58"/>
  <c r="H73" i="58"/>
  <c r="F39" i="58"/>
  <c r="F41" i="58" s="1"/>
  <c r="F43" i="58"/>
  <c r="F42" i="58"/>
  <c r="K27" i="58"/>
  <c r="K69" i="58"/>
  <c r="K55" i="58"/>
  <c r="K29" i="58"/>
  <c r="K67" i="58"/>
  <c r="E40" i="58"/>
  <c r="E45" i="58"/>
  <c r="E81" i="58"/>
  <c r="H37" i="58"/>
  <c r="H70" i="58"/>
  <c r="H79" i="58" s="1"/>
  <c r="G37" i="58"/>
  <c r="G80" i="58"/>
  <c r="G38" i="58" s="1"/>
  <c r="G71" i="58"/>
  <c r="G74" i="58"/>
  <c r="E40" i="57"/>
  <c r="E45" i="57"/>
  <c r="E81" i="57"/>
  <c r="H73" i="57"/>
  <c r="G80" i="57"/>
  <c r="G38" i="57" s="1"/>
  <c r="G39" i="57" s="1"/>
  <c r="G71" i="57"/>
  <c r="K69" i="57"/>
  <c r="K55" i="57"/>
  <c r="K29" i="57"/>
  <c r="K27" i="57"/>
  <c r="K67" i="57"/>
  <c r="F40" i="57"/>
  <c r="F45" i="57"/>
  <c r="F81" i="57"/>
  <c r="F41" i="57"/>
  <c r="G43" i="57"/>
  <c r="G42" i="57"/>
  <c r="H30" i="57"/>
  <c r="E41" i="57"/>
  <c r="G74" i="57"/>
  <c r="H74" i="59" l="1"/>
  <c r="G76" i="59"/>
  <c r="K76" i="60"/>
  <c r="H77" i="55"/>
  <c r="H74" i="53"/>
  <c r="G76" i="58"/>
  <c r="H37" i="54"/>
  <c r="H43" i="54" s="1"/>
  <c r="H74" i="57"/>
  <c r="K30" i="54"/>
  <c r="K70" i="54" s="1"/>
  <c r="K79" i="54" s="1"/>
  <c r="K77" i="54" s="1"/>
  <c r="K73" i="54"/>
  <c r="L27" i="54"/>
  <c r="L30" i="54" s="1"/>
  <c r="L69" i="54"/>
  <c r="L55" i="54"/>
  <c r="L29" i="54"/>
  <c r="L67" i="54"/>
  <c r="H80" i="54"/>
  <c r="H38" i="54" s="1"/>
  <c r="H71" i="54"/>
  <c r="H76" i="54" s="1"/>
  <c r="F40" i="54"/>
  <c r="F45" i="54"/>
  <c r="F81" i="54"/>
  <c r="G40" i="54"/>
  <c r="G45" i="54"/>
  <c r="G81" i="54"/>
  <c r="G41" i="54"/>
  <c r="F41" i="54"/>
  <c r="H43" i="53"/>
  <c r="H42" i="53"/>
  <c r="H80" i="53"/>
  <c r="H38" i="53" s="1"/>
  <c r="H39" i="53" s="1"/>
  <c r="H71" i="53"/>
  <c r="L27" i="53"/>
  <c r="L69" i="53"/>
  <c r="L55" i="53"/>
  <c r="L29" i="53"/>
  <c r="L67" i="53"/>
  <c r="L30" i="53"/>
  <c r="G76" i="53"/>
  <c r="K37" i="53"/>
  <c r="K70" i="53"/>
  <c r="K79" i="53" s="1"/>
  <c r="G40" i="53"/>
  <c r="G45" i="53"/>
  <c r="G81" i="53"/>
  <c r="F40" i="53"/>
  <c r="F45" i="53"/>
  <c r="F81" i="53"/>
  <c r="G41" i="53"/>
  <c r="H70" i="53"/>
  <c r="H79" i="53" s="1"/>
  <c r="H77" i="53" s="1"/>
  <c r="K73" i="53"/>
  <c r="K73" i="56"/>
  <c r="G41" i="56"/>
  <c r="K37" i="56"/>
  <c r="K70" i="56"/>
  <c r="K79" i="56" s="1"/>
  <c r="L27" i="56"/>
  <c r="L69" i="56"/>
  <c r="L55" i="56"/>
  <c r="L29" i="56"/>
  <c r="L67" i="56"/>
  <c r="F40" i="56"/>
  <c r="F45" i="56"/>
  <c r="F81" i="56"/>
  <c r="H43" i="56"/>
  <c r="H42" i="56"/>
  <c r="G40" i="56"/>
  <c r="G45" i="56"/>
  <c r="G81" i="56"/>
  <c r="H80" i="56"/>
  <c r="H38" i="56" s="1"/>
  <c r="H39" i="56" s="1"/>
  <c r="H71" i="56"/>
  <c r="H76" i="56" s="1"/>
  <c r="H70" i="56"/>
  <c r="H79" i="56" s="1"/>
  <c r="H77" i="56" s="1"/>
  <c r="G40" i="55"/>
  <c r="G45" i="55"/>
  <c r="G81" i="55"/>
  <c r="F40" i="55"/>
  <c r="F45" i="55"/>
  <c r="F81" i="55"/>
  <c r="F41" i="55"/>
  <c r="H80" i="55"/>
  <c r="H38" i="55" s="1"/>
  <c r="H39" i="55" s="1"/>
  <c r="H71" i="55"/>
  <c r="H76" i="55" s="1"/>
  <c r="K73" i="55"/>
  <c r="K74" i="55" s="1"/>
  <c r="L27" i="55"/>
  <c r="L30" i="55" s="1"/>
  <c r="L69" i="55"/>
  <c r="L55" i="55"/>
  <c r="L29" i="55"/>
  <c r="L67" i="55"/>
  <c r="G41" i="55"/>
  <c r="H43" i="55"/>
  <c r="H42" i="55"/>
  <c r="K30" i="55"/>
  <c r="K37" i="55" s="1"/>
  <c r="M73" i="60"/>
  <c r="N67" i="60"/>
  <c r="N29" i="60"/>
  <c r="N27" i="60"/>
  <c r="N69" i="60"/>
  <c r="N55" i="60"/>
  <c r="L74" i="60"/>
  <c r="K39" i="60"/>
  <c r="K41" i="60" s="1"/>
  <c r="L43" i="60"/>
  <c r="L42" i="60"/>
  <c r="L80" i="60"/>
  <c r="L38" i="60" s="1"/>
  <c r="L39" i="60" s="1"/>
  <c r="L71" i="60"/>
  <c r="M30" i="60"/>
  <c r="M70" i="60" s="1"/>
  <c r="M79" i="60" s="1"/>
  <c r="M77" i="60" s="1"/>
  <c r="G40" i="59"/>
  <c r="G45" i="59"/>
  <c r="G81" i="59"/>
  <c r="K30" i="59"/>
  <c r="K37" i="59" s="1"/>
  <c r="H43" i="59"/>
  <c r="H42" i="59"/>
  <c r="L27" i="59"/>
  <c r="L30" i="59" s="1"/>
  <c r="L69" i="59"/>
  <c r="L55" i="59"/>
  <c r="L29" i="59"/>
  <c r="L67" i="59"/>
  <c r="G41" i="59"/>
  <c r="K73" i="59"/>
  <c r="K74" i="59" s="1"/>
  <c r="F40" i="59"/>
  <c r="F45" i="59"/>
  <c r="F81" i="59"/>
  <c r="H80" i="59"/>
  <c r="H38" i="59" s="1"/>
  <c r="H39" i="59" s="1"/>
  <c r="H71" i="59"/>
  <c r="H76" i="59" s="1"/>
  <c r="H77" i="58"/>
  <c r="H43" i="58"/>
  <c r="H42" i="58"/>
  <c r="K30" i="58"/>
  <c r="K70" i="58" s="1"/>
  <c r="K79" i="58" s="1"/>
  <c r="H74" i="58"/>
  <c r="H80" i="58"/>
  <c r="H38" i="58" s="1"/>
  <c r="H71" i="58"/>
  <c r="K73" i="58"/>
  <c r="L27" i="58"/>
  <c r="L69" i="58"/>
  <c r="L55" i="58"/>
  <c r="L29" i="58"/>
  <c r="L67" i="58"/>
  <c r="G43" i="58"/>
  <c r="G42" i="58"/>
  <c r="G39" i="58"/>
  <c r="F40" i="58"/>
  <c r="F45" i="58"/>
  <c r="F81" i="58"/>
  <c r="L27" i="57"/>
  <c r="L69" i="57"/>
  <c r="L29" i="57"/>
  <c r="L67" i="57"/>
  <c r="L55" i="57"/>
  <c r="H80" i="57"/>
  <c r="H38" i="57" s="1"/>
  <c r="H71" i="57"/>
  <c r="H70" i="57"/>
  <c r="H79" i="57" s="1"/>
  <c r="H77" i="57" s="1"/>
  <c r="H37" i="57"/>
  <c r="K30" i="57"/>
  <c r="G40" i="57"/>
  <c r="G45" i="57"/>
  <c r="G81" i="57"/>
  <c r="G76" i="57"/>
  <c r="K73" i="57"/>
  <c r="G41" i="57"/>
  <c r="K74" i="57" l="1"/>
  <c r="H76" i="53"/>
  <c r="H42" i="54"/>
  <c r="H76" i="57"/>
  <c r="M74" i="60"/>
  <c r="H76" i="58"/>
  <c r="K77" i="56"/>
  <c r="M37" i="60"/>
  <c r="M42" i="60" s="1"/>
  <c r="K70" i="59"/>
  <c r="K79" i="59" s="1"/>
  <c r="K77" i="59" s="1"/>
  <c r="K80" i="54"/>
  <c r="K38" i="54" s="1"/>
  <c r="K71" i="54"/>
  <c r="K37" i="54"/>
  <c r="L73" i="54"/>
  <c r="M69" i="54"/>
  <c r="M55" i="54"/>
  <c r="M29" i="54"/>
  <c r="M67" i="54"/>
  <c r="M27" i="54"/>
  <c r="H39" i="54"/>
  <c r="H41" i="54" s="1"/>
  <c r="K74" i="54"/>
  <c r="L37" i="54"/>
  <c r="L70" i="54"/>
  <c r="L79" i="54" s="1"/>
  <c r="L77" i="54" s="1"/>
  <c r="H45" i="53"/>
  <c r="H40" i="53"/>
  <c r="H81" i="53"/>
  <c r="L73" i="53"/>
  <c r="K80" i="53"/>
  <c r="K38" i="53" s="1"/>
  <c r="K39" i="53" s="1"/>
  <c r="K71" i="53"/>
  <c r="M69" i="53"/>
  <c r="M55" i="53"/>
  <c r="M29" i="53"/>
  <c r="M67" i="53"/>
  <c r="M27" i="53"/>
  <c r="M30" i="53" s="1"/>
  <c r="K43" i="53"/>
  <c r="K42" i="53"/>
  <c r="H41" i="53"/>
  <c r="K77" i="53"/>
  <c r="K74" i="53"/>
  <c r="L37" i="53"/>
  <c r="L70" i="53"/>
  <c r="L79" i="53" s="1"/>
  <c r="H45" i="56"/>
  <c r="H40" i="56"/>
  <c r="H81" i="56"/>
  <c r="M69" i="56"/>
  <c r="M55" i="56"/>
  <c r="M29" i="56"/>
  <c r="M67" i="56"/>
  <c r="M27" i="56"/>
  <c r="M30" i="56" s="1"/>
  <c r="K80" i="56"/>
  <c r="K38" i="56" s="1"/>
  <c r="K71" i="56"/>
  <c r="K74" i="56"/>
  <c r="L73" i="56"/>
  <c r="H41" i="56"/>
  <c r="L30" i="56"/>
  <c r="K42" i="56"/>
  <c r="K43" i="56"/>
  <c r="K43" i="55"/>
  <c r="K42" i="55"/>
  <c r="K70" i="55"/>
  <c r="K79" i="55" s="1"/>
  <c r="K77" i="55" s="1"/>
  <c r="L73" i="55"/>
  <c r="L74" i="55" s="1"/>
  <c r="M69" i="55"/>
  <c r="M55" i="55"/>
  <c r="M29" i="55"/>
  <c r="M27" i="55"/>
  <c r="M30" i="55" s="1"/>
  <c r="M67" i="55"/>
  <c r="H41" i="55"/>
  <c r="H45" i="55"/>
  <c r="H40" i="55"/>
  <c r="H81" i="55"/>
  <c r="L37" i="55"/>
  <c r="L70" i="55"/>
  <c r="L79" i="55" s="1"/>
  <c r="K80" i="55"/>
  <c r="K38" i="55" s="1"/>
  <c r="K39" i="55" s="1"/>
  <c r="K71" i="55"/>
  <c r="K76" i="55" s="1"/>
  <c r="N30" i="60"/>
  <c r="N70" i="60" s="1"/>
  <c r="N79" i="60" s="1"/>
  <c r="N77" i="60" s="1"/>
  <c r="N73" i="60"/>
  <c r="L40" i="60"/>
  <c r="L45" i="60"/>
  <c r="L81" i="60"/>
  <c r="O67" i="60"/>
  <c r="O27" i="60"/>
  <c r="O30" i="60" s="1"/>
  <c r="O69" i="60"/>
  <c r="O55" i="60"/>
  <c r="O29" i="60"/>
  <c r="L76" i="60"/>
  <c r="M80" i="60"/>
  <c r="M38" i="60" s="1"/>
  <c r="M71" i="60"/>
  <c r="K40" i="60"/>
  <c r="K45" i="60"/>
  <c r="K81" i="60"/>
  <c r="L41" i="60"/>
  <c r="M69" i="59"/>
  <c r="M55" i="59"/>
  <c r="M29" i="59"/>
  <c r="M27" i="59"/>
  <c r="M30" i="59"/>
  <c r="M67" i="59"/>
  <c r="H40" i="59"/>
  <c r="H45" i="59"/>
  <c r="H81" i="59"/>
  <c r="L73" i="59"/>
  <c r="L74" i="59" s="1"/>
  <c r="K43" i="59"/>
  <c r="K42" i="59"/>
  <c r="H41" i="59"/>
  <c r="K80" i="59"/>
  <c r="K38" i="59" s="1"/>
  <c r="K39" i="59" s="1"/>
  <c r="K71" i="59"/>
  <c r="K76" i="59" s="1"/>
  <c r="L37" i="59"/>
  <c r="L70" i="59"/>
  <c r="L79" i="59" s="1"/>
  <c r="G40" i="58"/>
  <c r="G45" i="58"/>
  <c r="G81" i="58"/>
  <c r="G41" i="58"/>
  <c r="K74" i="58"/>
  <c r="K77" i="58"/>
  <c r="L73" i="58"/>
  <c r="K80" i="58"/>
  <c r="K38" i="58" s="1"/>
  <c r="K71" i="58"/>
  <c r="L30" i="58"/>
  <c r="K37" i="58"/>
  <c r="M69" i="58"/>
  <c r="M55" i="58"/>
  <c r="M29" i="58"/>
  <c r="M67" i="58"/>
  <c r="M27" i="58"/>
  <c r="M30" i="58" s="1"/>
  <c r="H39" i="58"/>
  <c r="M69" i="57"/>
  <c r="M55" i="57"/>
  <c r="M29" i="57"/>
  <c r="M27" i="57"/>
  <c r="M67" i="57"/>
  <c r="H43" i="57"/>
  <c r="H42" i="57"/>
  <c r="H39" i="57"/>
  <c r="H41" i="57" s="1"/>
  <c r="K70" i="57"/>
  <c r="K79" i="57" s="1"/>
  <c r="K77" i="57" s="1"/>
  <c r="K80" i="57"/>
  <c r="K38" i="57" s="1"/>
  <c r="K71" i="57"/>
  <c r="K76" i="57" s="1"/>
  <c r="K37" i="57"/>
  <c r="L30" i="57"/>
  <c r="L70" i="57" s="1"/>
  <c r="L79" i="57" s="1"/>
  <c r="L73" i="57"/>
  <c r="K76" i="54" l="1"/>
  <c r="M30" i="54"/>
  <c r="M70" i="54" s="1"/>
  <c r="M79" i="54" s="1"/>
  <c r="M77" i="54" s="1"/>
  <c r="M43" i="60"/>
  <c r="M39" i="60"/>
  <c r="K76" i="56"/>
  <c r="M76" i="60"/>
  <c r="L74" i="54"/>
  <c r="L74" i="53"/>
  <c r="L77" i="55"/>
  <c r="K76" i="58"/>
  <c r="L77" i="59"/>
  <c r="L77" i="57"/>
  <c r="M73" i="54"/>
  <c r="N67" i="54"/>
  <c r="N29" i="54"/>
  <c r="N27" i="54"/>
  <c r="N69" i="54"/>
  <c r="N55" i="54"/>
  <c r="L43" i="54"/>
  <c r="L42" i="54"/>
  <c r="L80" i="54"/>
  <c r="L38" i="54" s="1"/>
  <c r="L71" i="54"/>
  <c r="L76" i="54" s="1"/>
  <c r="H45" i="54"/>
  <c r="H40" i="54"/>
  <c r="H81" i="54"/>
  <c r="K39" i="54"/>
  <c r="K43" i="54"/>
  <c r="K42" i="54"/>
  <c r="N67" i="53"/>
  <c r="N55" i="53"/>
  <c r="N29" i="53"/>
  <c r="N27" i="53"/>
  <c r="N30" i="53" s="1"/>
  <c r="N69" i="53"/>
  <c r="K45" i="53"/>
  <c r="K40" i="53"/>
  <c r="K81" i="53"/>
  <c r="L77" i="53"/>
  <c r="K76" i="53"/>
  <c r="M70" i="53"/>
  <c r="M79" i="53" s="1"/>
  <c r="M37" i="53"/>
  <c r="K41" i="53"/>
  <c r="L43" i="53"/>
  <c r="L42" i="53"/>
  <c r="M73" i="53"/>
  <c r="L80" i="53"/>
  <c r="L38" i="53" s="1"/>
  <c r="L39" i="53" s="1"/>
  <c r="L71" i="53"/>
  <c r="L80" i="56"/>
  <c r="L38" i="56" s="1"/>
  <c r="L71" i="56"/>
  <c r="M73" i="56"/>
  <c r="L70" i="56"/>
  <c r="L79" i="56" s="1"/>
  <c r="L77" i="56" s="1"/>
  <c r="N67" i="56"/>
  <c r="N69" i="56"/>
  <c r="N29" i="56"/>
  <c r="N27" i="56"/>
  <c r="N30" i="56" s="1"/>
  <c r="N55" i="56"/>
  <c r="L37" i="56"/>
  <c r="M37" i="56"/>
  <c r="M70" i="56"/>
  <c r="M79" i="56" s="1"/>
  <c r="K39" i="56"/>
  <c r="K41" i="56" s="1"/>
  <c r="L74" i="56"/>
  <c r="K40" i="55"/>
  <c r="K45" i="55"/>
  <c r="K81" i="55"/>
  <c r="L43" i="55"/>
  <c r="L42" i="55"/>
  <c r="L80" i="55"/>
  <c r="L38" i="55" s="1"/>
  <c r="L39" i="55" s="1"/>
  <c r="L71" i="55"/>
  <c r="L76" i="55" s="1"/>
  <c r="M73" i="55"/>
  <c r="M74" i="55" s="1"/>
  <c r="K41" i="55"/>
  <c r="N67" i="55"/>
  <c r="N27" i="55"/>
  <c r="N69" i="55"/>
  <c r="N55" i="55"/>
  <c r="N29" i="55"/>
  <c r="M70" i="55"/>
  <c r="M79" i="55" s="1"/>
  <c r="M37" i="55"/>
  <c r="O70" i="60"/>
  <c r="O79" i="60" s="1"/>
  <c r="O77" i="60" s="1"/>
  <c r="O37" i="60"/>
  <c r="O73" i="60"/>
  <c r="M40" i="60"/>
  <c r="M45" i="60"/>
  <c r="P67" i="60"/>
  <c r="P27" i="60"/>
  <c r="P30" i="60" s="1"/>
  <c r="Q30" i="60" s="1"/>
  <c r="P69" i="60"/>
  <c r="P55" i="60"/>
  <c r="P29" i="60"/>
  <c r="Q29" i="60" s="1"/>
  <c r="N80" i="60"/>
  <c r="N38" i="60" s="1"/>
  <c r="N71" i="60"/>
  <c r="N37" i="60"/>
  <c r="N74" i="60"/>
  <c r="L43" i="59"/>
  <c r="L42" i="59"/>
  <c r="M37" i="59"/>
  <c r="M70" i="59"/>
  <c r="M79" i="59" s="1"/>
  <c r="K45" i="59"/>
  <c r="K40" i="59"/>
  <c r="K81" i="59"/>
  <c r="K41" i="59"/>
  <c r="L80" i="59"/>
  <c r="L38" i="59" s="1"/>
  <c r="L71" i="59"/>
  <c r="L76" i="59" s="1"/>
  <c r="N55" i="59"/>
  <c r="N29" i="59"/>
  <c r="N67" i="59"/>
  <c r="N27" i="59"/>
  <c r="N30" i="59" s="1"/>
  <c r="N69" i="59"/>
  <c r="M73" i="59"/>
  <c r="L70" i="58"/>
  <c r="L79" i="58" s="1"/>
  <c r="L77" i="58" s="1"/>
  <c r="H45" i="58"/>
  <c r="H40" i="58"/>
  <c r="H81" i="58"/>
  <c r="L37" i="58"/>
  <c r="H41" i="58"/>
  <c r="L80" i="58"/>
  <c r="L38" i="58" s="1"/>
  <c r="L71" i="58"/>
  <c r="M70" i="58"/>
  <c r="M79" i="58" s="1"/>
  <c r="M37" i="58"/>
  <c r="M73" i="58"/>
  <c r="N67" i="58"/>
  <c r="N55" i="58"/>
  <c r="N27" i="58"/>
  <c r="N69" i="58"/>
  <c r="N29" i="58"/>
  <c r="N30" i="58" s="1"/>
  <c r="K43" i="58"/>
  <c r="K39" i="58"/>
  <c r="K41" i="58" s="1"/>
  <c r="K42" i="58"/>
  <c r="L74" i="58"/>
  <c r="L37" i="57"/>
  <c r="M30" i="57"/>
  <c r="M37" i="57" s="1"/>
  <c r="K39" i="57"/>
  <c r="K42" i="57"/>
  <c r="K43" i="57"/>
  <c r="H45" i="57"/>
  <c r="H40" i="57"/>
  <c r="H81" i="57"/>
  <c r="N67" i="57"/>
  <c r="N55" i="57"/>
  <c r="N29" i="57"/>
  <c r="N27" i="57"/>
  <c r="N30" i="57" s="1"/>
  <c r="N69" i="57"/>
  <c r="L80" i="57"/>
  <c r="L38" i="57" s="1"/>
  <c r="L71" i="57"/>
  <c r="M73" i="57"/>
  <c r="L74" i="57"/>
  <c r="M37" i="54" l="1"/>
  <c r="M42" i="54" s="1"/>
  <c r="M70" i="57"/>
  <c r="M79" i="57" s="1"/>
  <c r="M77" i="57" s="1"/>
  <c r="M74" i="54"/>
  <c r="M77" i="55"/>
  <c r="M41" i="60"/>
  <c r="M81" i="60"/>
  <c r="M77" i="59"/>
  <c r="M74" i="53"/>
  <c r="L76" i="53"/>
  <c r="M74" i="58"/>
  <c r="M77" i="53"/>
  <c r="M77" i="58"/>
  <c r="L76" i="57"/>
  <c r="O67" i="54"/>
  <c r="O27" i="54"/>
  <c r="O69" i="54"/>
  <c r="O55" i="54"/>
  <c r="O29" i="54"/>
  <c r="M80" i="54"/>
  <c r="M38" i="54" s="1"/>
  <c r="M71" i="54"/>
  <c r="K40" i="54"/>
  <c r="K45" i="54"/>
  <c r="K81" i="54"/>
  <c r="K41" i="54"/>
  <c r="N73" i="54"/>
  <c r="N74" i="54" s="1"/>
  <c r="L39" i="54"/>
  <c r="L41" i="54" s="1"/>
  <c r="N30" i="54"/>
  <c r="N37" i="54" s="1"/>
  <c r="M43" i="53"/>
  <c r="M42" i="53"/>
  <c r="L41" i="53"/>
  <c r="L40" i="53"/>
  <c r="L45" i="53"/>
  <c r="L81" i="53"/>
  <c r="N73" i="53"/>
  <c r="N70" i="53"/>
  <c r="N79" i="53" s="1"/>
  <c r="N77" i="53" s="1"/>
  <c r="N37" i="53"/>
  <c r="M80" i="53"/>
  <c r="M38" i="53" s="1"/>
  <c r="M71" i="53"/>
  <c r="O67" i="53"/>
  <c r="O27" i="53"/>
  <c r="O69" i="53"/>
  <c r="O55" i="53"/>
  <c r="O29" i="53"/>
  <c r="M43" i="56"/>
  <c r="M42" i="56"/>
  <c r="L76" i="56"/>
  <c r="N73" i="56"/>
  <c r="N70" i="56"/>
  <c r="N79" i="56" s="1"/>
  <c r="N37" i="56"/>
  <c r="L39" i="56"/>
  <c r="L41" i="56" s="1"/>
  <c r="L43" i="56"/>
  <c r="L42" i="56"/>
  <c r="M77" i="56"/>
  <c r="M80" i="56"/>
  <c r="M38" i="56" s="1"/>
  <c r="M71" i="56"/>
  <c r="M74" i="56"/>
  <c r="O67" i="56"/>
  <c r="O27" i="56"/>
  <c r="O30" i="56" s="1"/>
  <c r="O69" i="56"/>
  <c r="O55" i="56"/>
  <c r="O29" i="56"/>
  <c r="K45" i="56"/>
  <c r="K40" i="56"/>
  <c r="K81" i="56"/>
  <c r="N30" i="55"/>
  <c r="N37" i="55" s="1"/>
  <c r="L41" i="55"/>
  <c r="M43" i="55"/>
  <c r="M42" i="55"/>
  <c r="N73" i="55"/>
  <c r="N74" i="55" s="1"/>
  <c r="O67" i="55"/>
  <c r="O27" i="55"/>
  <c r="O30" i="55"/>
  <c r="O69" i="55"/>
  <c r="O55" i="55"/>
  <c r="O29" i="55"/>
  <c r="L40" i="55"/>
  <c r="L45" i="55"/>
  <c r="L81" i="55"/>
  <c r="M80" i="55"/>
  <c r="M38" i="55" s="1"/>
  <c r="M39" i="55" s="1"/>
  <c r="M71" i="55"/>
  <c r="M76" i="55" s="1"/>
  <c r="N39" i="60"/>
  <c r="N41" i="60" s="1"/>
  <c r="N43" i="60"/>
  <c r="N42" i="60"/>
  <c r="O43" i="60"/>
  <c r="O42" i="60"/>
  <c r="N76" i="60"/>
  <c r="P73" i="60"/>
  <c r="O74" i="60"/>
  <c r="P70" i="60"/>
  <c r="P79" i="60" s="1"/>
  <c r="P77" i="60" s="1"/>
  <c r="P37" i="60"/>
  <c r="Q27" i="60"/>
  <c r="O80" i="60"/>
  <c r="O38" i="60" s="1"/>
  <c r="O39" i="60" s="1"/>
  <c r="O71" i="60"/>
  <c r="L39" i="59"/>
  <c r="N70" i="59"/>
  <c r="N79" i="59" s="1"/>
  <c r="N77" i="59" s="1"/>
  <c r="N37" i="59"/>
  <c r="N73" i="59"/>
  <c r="M80" i="59"/>
  <c r="M38" i="59" s="1"/>
  <c r="M39" i="59" s="1"/>
  <c r="M71" i="59"/>
  <c r="M74" i="59"/>
  <c r="O67" i="59"/>
  <c r="O69" i="59"/>
  <c r="O55" i="59"/>
  <c r="O27" i="59"/>
  <c r="O30" i="59" s="1"/>
  <c r="O29" i="59"/>
  <c r="M43" i="59"/>
  <c r="M42" i="59"/>
  <c r="N73" i="58"/>
  <c r="L76" i="58"/>
  <c r="L39" i="58"/>
  <c r="L43" i="58"/>
  <c r="L42" i="58"/>
  <c r="O67" i="58"/>
  <c r="O27" i="58"/>
  <c r="O30" i="58" s="1"/>
  <c r="O69" i="58"/>
  <c r="O55" i="58"/>
  <c r="O29" i="58"/>
  <c r="L41" i="58"/>
  <c r="K40" i="58"/>
  <c r="K45" i="58"/>
  <c r="K81" i="58"/>
  <c r="M80" i="58"/>
  <c r="M38" i="58" s="1"/>
  <c r="M71" i="58"/>
  <c r="N70" i="58"/>
  <c r="N79" i="58" s="1"/>
  <c r="N77" i="58" s="1"/>
  <c r="N37" i="58"/>
  <c r="M43" i="58"/>
  <c r="M42" i="58"/>
  <c r="O67" i="57"/>
  <c r="O27" i="57"/>
  <c r="O30" i="57" s="1"/>
  <c r="O69" i="57"/>
  <c r="O55" i="57"/>
  <c r="O29" i="57"/>
  <c r="N73" i="57"/>
  <c r="K40" i="57"/>
  <c r="K45" i="57"/>
  <c r="K81" i="57"/>
  <c r="L39" i="57"/>
  <c r="L41" i="57" s="1"/>
  <c r="L43" i="57"/>
  <c r="L42" i="57"/>
  <c r="K41" i="57"/>
  <c r="M80" i="57"/>
  <c r="M38" i="57" s="1"/>
  <c r="M39" i="57" s="1"/>
  <c r="M71" i="57"/>
  <c r="M43" i="57"/>
  <c r="M42" i="57"/>
  <c r="M74" i="57"/>
  <c r="N70" i="57"/>
  <c r="N79" i="57" s="1"/>
  <c r="N77" i="57" s="1"/>
  <c r="N37" i="57"/>
  <c r="M43" i="54" l="1"/>
  <c r="M76" i="54"/>
  <c r="M76" i="53"/>
  <c r="N74" i="58"/>
  <c r="M76" i="58"/>
  <c r="P74" i="60"/>
  <c r="N74" i="56"/>
  <c r="O76" i="60"/>
  <c r="N70" i="54"/>
  <c r="N79" i="54" s="1"/>
  <c r="N77" i="54" s="1"/>
  <c r="N70" i="55"/>
  <c r="N79" i="55" s="1"/>
  <c r="N77" i="55" s="1"/>
  <c r="N43" i="54"/>
  <c r="N42" i="54"/>
  <c r="M39" i="54"/>
  <c r="N80" i="54"/>
  <c r="N38" i="54" s="1"/>
  <c r="N39" i="54" s="1"/>
  <c r="N71" i="54"/>
  <c r="N76" i="54" s="1"/>
  <c r="O30" i="54"/>
  <c r="O70" i="54" s="1"/>
  <c r="O79" i="54" s="1"/>
  <c r="O77" i="54" s="1"/>
  <c r="L40" i="54"/>
  <c r="L45" i="54"/>
  <c r="L81" i="54"/>
  <c r="O73" i="54"/>
  <c r="O74" i="54" s="1"/>
  <c r="P67" i="54"/>
  <c r="P27" i="54"/>
  <c r="P30" i="54" s="1"/>
  <c r="P69" i="54"/>
  <c r="P55" i="54"/>
  <c r="P29" i="54"/>
  <c r="Q29" i="54" s="1"/>
  <c r="N43" i="53"/>
  <c r="N42" i="53"/>
  <c r="M39" i="53"/>
  <c r="O30" i="53"/>
  <c r="O70" i="53" s="1"/>
  <c r="O79" i="53" s="1"/>
  <c r="O77" i="53" s="1"/>
  <c r="N80" i="53"/>
  <c r="N38" i="53" s="1"/>
  <c r="N39" i="53" s="1"/>
  <c r="N71" i="53"/>
  <c r="N74" i="53"/>
  <c r="O73" i="53"/>
  <c r="P67" i="53"/>
  <c r="P27" i="53"/>
  <c r="P69" i="53"/>
  <c r="P55" i="53"/>
  <c r="P29" i="53"/>
  <c r="Q29" i="53" s="1"/>
  <c r="O73" i="56"/>
  <c r="L40" i="56"/>
  <c r="L45" i="56"/>
  <c r="L81" i="56"/>
  <c r="P67" i="56"/>
  <c r="P27" i="56"/>
  <c r="P69" i="56"/>
  <c r="P55" i="56"/>
  <c r="P29" i="56"/>
  <c r="Q29" i="56" s="1"/>
  <c r="N43" i="56"/>
  <c r="N42" i="56"/>
  <c r="M76" i="56"/>
  <c r="O70" i="56"/>
  <c r="O79" i="56" s="1"/>
  <c r="O37" i="56"/>
  <c r="N71" i="56"/>
  <c r="N80" i="56"/>
  <c r="N38" i="56" s="1"/>
  <c r="N39" i="56" s="1"/>
  <c r="M39" i="56"/>
  <c r="M41" i="56" s="1"/>
  <c r="N77" i="56"/>
  <c r="N43" i="55"/>
  <c r="N42" i="55"/>
  <c r="P67" i="55"/>
  <c r="P29" i="55"/>
  <c r="Q29" i="55" s="1"/>
  <c r="P27" i="55"/>
  <c r="P69" i="55"/>
  <c r="P55" i="55"/>
  <c r="M40" i="55"/>
  <c r="M45" i="55"/>
  <c r="M81" i="55"/>
  <c r="M41" i="55"/>
  <c r="O73" i="55"/>
  <c r="N80" i="55"/>
  <c r="N38" i="55" s="1"/>
  <c r="N71" i="55"/>
  <c r="N76" i="55" s="1"/>
  <c r="O70" i="55"/>
  <c r="O79" i="55" s="1"/>
  <c r="O37" i="55"/>
  <c r="O41" i="60"/>
  <c r="O40" i="60"/>
  <c r="O45" i="60"/>
  <c r="O81" i="60"/>
  <c r="P80" i="60"/>
  <c r="P38" i="60" s="1"/>
  <c r="P39" i="60" s="1"/>
  <c r="Q39" i="60" s="1"/>
  <c r="P71" i="60"/>
  <c r="P76" i="60" s="1"/>
  <c r="N40" i="60"/>
  <c r="N45" i="60"/>
  <c r="N81" i="60"/>
  <c r="P43" i="60"/>
  <c r="Q43" i="60" s="1"/>
  <c r="P42" i="60"/>
  <c r="Q42" i="60" s="1"/>
  <c r="Q37" i="60"/>
  <c r="N43" i="59"/>
  <c r="N42" i="59"/>
  <c r="N74" i="59"/>
  <c r="L45" i="59"/>
  <c r="L40" i="59"/>
  <c r="L81" i="59"/>
  <c r="M76" i="59"/>
  <c r="L41" i="59"/>
  <c r="O70" i="59"/>
  <c r="O79" i="59" s="1"/>
  <c r="O77" i="59" s="1"/>
  <c r="O37" i="59"/>
  <c r="M41" i="59"/>
  <c r="M40" i="59"/>
  <c r="M45" i="59"/>
  <c r="M81" i="59"/>
  <c r="O73" i="59"/>
  <c r="N80" i="59"/>
  <c r="N38" i="59" s="1"/>
  <c r="N39" i="59" s="1"/>
  <c r="N71" i="59"/>
  <c r="N76" i="59" s="1"/>
  <c r="P67" i="59"/>
  <c r="P30" i="59"/>
  <c r="Q30" i="59" s="1"/>
  <c r="P27" i="59"/>
  <c r="P69" i="59"/>
  <c r="P55" i="59"/>
  <c r="P29" i="59"/>
  <c r="Q29" i="59" s="1"/>
  <c r="N43" i="58"/>
  <c r="N42" i="58"/>
  <c r="O73" i="58"/>
  <c r="O74" i="58" s="1"/>
  <c r="N80" i="58"/>
  <c r="N38" i="58" s="1"/>
  <c r="N39" i="58" s="1"/>
  <c r="N71" i="58"/>
  <c r="P67" i="58"/>
  <c r="P27" i="58"/>
  <c r="P30" i="58" s="1"/>
  <c r="Q30" i="58" s="1"/>
  <c r="P69" i="58"/>
  <c r="P55" i="58"/>
  <c r="P29" i="58"/>
  <c r="Q29" i="58" s="1"/>
  <c r="O70" i="58"/>
  <c r="O79" i="58" s="1"/>
  <c r="O77" i="58" s="1"/>
  <c r="O37" i="58"/>
  <c r="M39" i="58"/>
  <c r="M41" i="58" s="1"/>
  <c r="L40" i="58"/>
  <c r="L45" i="58"/>
  <c r="L81" i="58"/>
  <c r="N74" i="57"/>
  <c r="O73" i="57"/>
  <c r="N80" i="57"/>
  <c r="N38" i="57" s="1"/>
  <c r="N71" i="57"/>
  <c r="M40" i="57"/>
  <c r="M45" i="57"/>
  <c r="M81" i="57"/>
  <c r="L40" i="57"/>
  <c r="L45" i="57"/>
  <c r="L81" i="57"/>
  <c r="P67" i="57"/>
  <c r="P30" i="57"/>
  <c r="Q30" i="57" s="1"/>
  <c r="P27" i="57"/>
  <c r="P69" i="57"/>
  <c r="P55" i="57"/>
  <c r="P29" i="57"/>
  <c r="Q29" i="57" s="1"/>
  <c r="M76" i="57"/>
  <c r="O70" i="57"/>
  <c r="O79" i="57" s="1"/>
  <c r="O77" i="57" s="1"/>
  <c r="O37" i="57"/>
  <c r="N43" i="57"/>
  <c r="N42" i="57"/>
  <c r="M41" i="57"/>
  <c r="N76" i="56" l="1"/>
  <c r="O74" i="56"/>
  <c r="N76" i="58"/>
  <c r="Q30" i="54"/>
  <c r="O77" i="55"/>
  <c r="O74" i="53"/>
  <c r="O74" i="57"/>
  <c r="O37" i="54"/>
  <c r="N41" i="54"/>
  <c r="M40" i="54"/>
  <c r="M45" i="54"/>
  <c r="M81" i="54"/>
  <c r="M41" i="54"/>
  <c r="N40" i="54"/>
  <c r="N45" i="54"/>
  <c r="N81" i="54"/>
  <c r="O80" i="54"/>
  <c r="O38" i="54" s="1"/>
  <c r="O71" i="54"/>
  <c r="O76" i="54" s="1"/>
  <c r="P70" i="54"/>
  <c r="P79" i="54" s="1"/>
  <c r="P77" i="54" s="1"/>
  <c r="P37" i="54"/>
  <c r="Q27" i="54"/>
  <c r="P73" i="54"/>
  <c r="N40" i="53"/>
  <c r="N45" i="53"/>
  <c r="N81" i="53"/>
  <c r="N76" i="53"/>
  <c r="N41" i="53"/>
  <c r="Q27" i="53"/>
  <c r="P30" i="53"/>
  <c r="Q30" i="53" s="1"/>
  <c r="M40" i="53"/>
  <c r="M45" i="53"/>
  <c r="M81" i="53"/>
  <c r="P73" i="53"/>
  <c r="P74" i="53" s="1"/>
  <c r="O37" i="53"/>
  <c r="M41" i="53"/>
  <c r="O80" i="53"/>
  <c r="O38" i="53" s="1"/>
  <c r="O71" i="53"/>
  <c r="O77" i="56"/>
  <c r="M40" i="56"/>
  <c r="M45" i="56"/>
  <c r="M81" i="56"/>
  <c r="Q27" i="56"/>
  <c r="O43" i="56"/>
  <c r="O42" i="56"/>
  <c r="N41" i="56"/>
  <c r="P30" i="56"/>
  <c r="Q30" i="56" s="1"/>
  <c r="N40" i="56"/>
  <c r="N45" i="56"/>
  <c r="N81" i="56"/>
  <c r="P73" i="56"/>
  <c r="O80" i="56"/>
  <c r="O38" i="56" s="1"/>
  <c r="O71" i="56"/>
  <c r="O80" i="55"/>
  <c r="O38" i="55" s="1"/>
  <c r="O71" i="55"/>
  <c r="O74" i="55"/>
  <c r="Q27" i="55"/>
  <c r="O43" i="55"/>
  <c r="O42" i="55"/>
  <c r="P30" i="55"/>
  <c r="Q30" i="55" s="1"/>
  <c r="N39" i="55"/>
  <c r="P73" i="55"/>
  <c r="P41" i="60"/>
  <c r="Q41" i="60" s="1"/>
  <c r="Q38" i="60"/>
  <c r="P40" i="60"/>
  <c r="P45" i="60"/>
  <c r="Q45" i="60" s="1"/>
  <c r="P81" i="60"/>
  <c r="Q81" i="60" s="1"/>
  <c r="N40" i="59"/>
  <c r="N45" i="59"/>
  <c r="N81" i="59"/>
  <c r="P70" i="59"/>
  <c r="P79" i="59" s="1"/>
  <c r="P77" i="59" s="1"/>
  <c r="P37" i="59"/>
  <c r="P73" i="59"/>
  <c r="N41" i="59"/>
  <c r="O71" i="59"/>
  <c r="O80" i="59"/>
  <c r="O38" i="59" s="1"/>
  <c r="O39" i="59" s="1"/>
  <c r="O43" i="59"/>
  <c r="O42" i="59"/>
  <c r="Q27" i="59"/>
  <c r="O74" i="59"/>
  <c r="O43" i="58"/>
  <c r="O42" i="58"/>
  <c r="P73" i="58"/>
  <c r="N41" i="58"/>
  <c r="O80" i="58"/>
  <c r="O38" i="58" s="1"/>
  <c r="O71" i="58"/>
  <c r="O76" i="58" s="1"/>
  <c r="P70" i="58"/>
  <c r="P79" i="58" s="1"/>
  <c r="P77" i="58" s="1"/>
  <c r="P37" i="58"/>
  <c r="Q27" i="58"/>
  <c r="N40" i="58"/>
  <c r="N45" i="58"/>
  <c r="N81" i="58"/>
  <c r="M40" i="58"/>
  <c r="M45" i="58"/>
  <c r="M81" i="58"/>
  <c r="O43" i="57"/>
  <c r="O42" i="57"/>
  <c r="P70" i="57"/>
  <c r="P79" i="57" s="1"/>
  <c r="P77" i="57" s="1"/>
  <c r="P37" i="57"/>
  <c r="Q27" i="57"/>
  <c r="N76" i="57"/>
  <c r="P73" i="57"/>
  <c r="O80" i="57"/>
  <c r="O38" i="57" s="1"/>
  <c r="O39" i="57" s="1"/>
  <c r="O71" i="57"/>
  <c r="N39" i="57"/>
  <c r="O76" i="56" l="1"/>
  <c r="O76" i="53"/>
  <c r="O76" i="57"/>
  <c r="P74" i="59"/>
  <c r="O76" i="59"/>
  <c r="P70" i="56"/>
  <c r="P79" i="56" s="1"/>
  <c r="P77" i="56" s="1"/>
  <c r="P37" i="55"/>
  <c r="P42" i="55" s="1"/>
  <c r="Q42" i="55" s="1"/>
  <c r="P80" i="54"/>
  <c r="P38" i="54" s="1"/>
  <c r="P39" i="54" s="1"/>
  <c r="P71" i="54"/>
  <c r="P76" i="54" s="1"/>
  <c r="P43" i="54"/>
  <c r="P42" i="54"/>
  <c r="Q37" i="54"/>
  <c r="P74" i="54"/>
  <c r="O39" i="54"/>
  <c r="O41" i="54" s="1"/>
  <c r="O43" i="54"/>
  <c r="O42" i="54"/>
  <c r="O39" i="53"/>
  <c r="O43" i="53"/>
  <c r="O42" i="53"/>
  <c r="P80" i="53"/>
  <c r="P38" i="53" s="1"/>
  <c r="P71" i="53"/>
  <c r="P76" i="53" s="1"/>
  <c r="P37" i="53"/>
  <c r="P70" i="53"/>
  <c r="P79" i="53" s="1"/>
  <c r="P77" i="53" s="1"/>
  <c r="P80" i="56"/>
  <c r="P38" i="56" s="1"/>
  <c r="P71" i="56"/>
  <c r="P37" i="56"/>
  <c r="P74" i="56"/>
  <c r="O39" i="56"/>
  <c r="P70" i="55"/>
  <c r="P79" i="55" s="1"/>
  <c r="P77" i="55" s="1"/>
  <c r="P74" i="55"/>
  <c r="O76" i="55"/>
  <c r="O39" i="55"/>
  <c r="O41" i="55" s="1"/>
  <c r="N40" i="55"/>
  <c r="N45" i="55"/>
  <c r="N81" i="55"/>
  <c r="P80" i="55"/>
  <c r="P38" i="55" s="1"/>
  <c r="P71" i="55"/>
  <c r="N41" i="55"/>
  <c r="Q40" i="60"/>
  <c r="O40" i="59"/>
  <c r="O45" i="59"/>
  <c r="O81" i="59"/>
  <c r="P43" i="59"/>
  <c r="Q43" i="59" s="1"/>
  <c r="P42" i="59"/>
  <c r="Q42" i="59" s="1"/>
  <c r="Q37" i="59"/>
  <c r="P80" i="59"/>
  <c r="P38" i="59" s="1"/>
  <c r="P39" i="59" s="1"/>
  <c r="P71" i="59"/>
  <c r="O41" i="59"/>
  <c r="P80" i="58"/>
  <c r="P38" i="58" s="1"/>
  <c r="P71" i="58"/>
  <c r="P43" i="58"/>
  <c r="Q43" i="58" s="1"/>
  <c r="P42" i="58"/>
  <c r="Q42" i="58" s="1"/>
  <c r="Q37" i="58"/>
  <c r="P74" i="58"/>
  <c r="O39" i="58"/>
  <c r="P80" i="57"/>
  <c r="P38" i="57" s="1"/>
  <c r="P39" i="57" s="1"/>
  <c r="P71" i="57"/>
  <c r="N40" i="57"/>
  <c r="N45" i="57"/>
  <c r="N81" i="57"/>
  <c r="O45" i="57"/>
  <c r="O40" i="57"/>
  <c r="O81" i="57"/>
  <c r="P74" i="57"/>
  <c r="O41" i="57"/>
  <c r="N41" i="57"/>
  <c r="P43" i="57"/>
  <c r="Q43" i="57" s="1"/>
  <c r="P42" i="57"/>
  <c r="Q42" i="57" s="1"/>
  <c r="Q37" i="57"/>
  <c r="P76" i="58" l="1"/>
  <c r="P43" i="55"/>
  <c r="Q43" i="55" s="1"/>
  <c r="P76" i="59"/>
  <c r="Q38" i="54"/>
  <c r="Q42" i="54"/>
  <c r="P76" i="55"/>
  <c r="Q37" i="55"/>
  <c r="P76" i="56"/>
  <c r="P40" i="54"/>
  <c r="P45" i="54"/>
  <c r="Q39" i="54"/>
  <c r="P81" i="54"/>
  <c r="O40" i="54"/>
  <c r="O45" i="54"/>
  <c r="O81" i="54"/>
  <c r="Q43" i="54"/>
  <c r="P41" i="54"/>
  <c r="Q41" i="54" s="1"/>
  <c r="Q38" i="53"/>
  <c r="O40" i="53"/>
  <c r="O45" i="53"/>
  <c r="O81" i="53"/>
  <c r="P43" i="53"/>
  <c r="Q43" i="53" s="1"/>
  <c r="P42" i="53"/>
  <c r="Q42" i="53" s="1"/>
  <c r="P39" i="53"/>
  <c r="Q37" i="53"/>
  <c r="O41" i="53"/>
  <c r="P43" i="56"/>
  <c r="Q43" i="56" s="1"/>
  <c r="P42" i="56"/>
  <c r="Q42" i="56" s="1"/>
  <c r="P39" i="56"/>
  <c r="P41" i="56" s="1"/>
  <c r="Q37" i="56"/>
  <c r="O40" i="56"/>
  <c r="O45" i="56"/>
  <c r="O81" i="56"/>
  <c r="Q38" i="56"/>
  <c r="O41" i="56"/>
  <c r="Q38" i="55"/>
  <c r="P39" i="55"/>
  <c r="P41" i="55" s="1"/>
  <c r="Q41" i="55" s="1"/>
  <c r="O40" i="55"/>
  <c r="O45" i="55"/>
  <c r="O81" i="55"/>
  <c r="P40" i="59"/>
  <c r="P45" i="59"/>
  <c r="Q45" i="59" s="1"/>
  <c r="Q39" i="59"/>
  <c r="P81" i="59"/>
  <c r="Q81" i="59" s="1"/>
  <c r="P41" i="59"/>
  <c r="Q41" i="59" s="1"/>
  <c r="Q38" i="59"/>
  <c r="O40" i="58"/>
  <c r="O45" i="58"/>
  <c r="O81" i="58"/>
  <c r="Q38" i="58"/>
  <c r="P39" i="58"/>
  <c r="O41" i="58"/>
  <c r="P40" i="57"/>
  <c r="P45" i="57"/>
  <c r="Q45" i="57" s="1"/>
  <c r="Q39" i="57"/>
  <c r="P81" i="57"/>
  <c r="Q81" i="57" s="1"/>
  <c r="P76" i="57"/>
  <c r="P41" i="57"/>
  <c r="Q41" i="57" s="1"/>
  <c r="Q38" i="57"/>
  <c r="Q45" i="54" l="1"/>
  <c r="Q81" i="54"/>
  <c r="Q40" i="54"/>
  <c r="P40" i="53"/>
  <c r="P45" i="53"/>
  <c r="Q45" i="53" s="1"/>
  <c r="Q39" i="53"/>
  <c r="P81" i="53"/>
  <c r="Q81" i="53" s="1"/>
  <c r="P41" i="53"/>
  <c r="Q41" i="53" s="1"/>
  <c r="P40" i="56"/>
  <c r="P45" i="56"/>
  <c r="Q45" i="56" s="1"/>
  <c r="Q39" i="56"/>
  <c r="P81" i="56"/>
  <c r="Q81" i="56" s="1"/>
  <c r="Q41" i="56"/>
  <c r="P40" i="55"/>
  <c r="P45" i="55"/>
  <c r="Q45" i="55" s="1"/>
  <c r="Q39" i="55"/>
  <c r="P81" i="55"/>
  <c r="Q81" i="55" s="1"/>
  <c r="Q40" i="59"/>
  <c r="P40" i="58"/>
  <c r="P45" i="58"/>
  <c r="Q45" i="58" s="1"/>
  <c r="Q39" i="58"/>
  <c r="P81" i="58"/>
  <c r="Q81" i="58" s="1"/>
  <c r="P41" i="58"/>
  <c r="Q41" i="58" s="1"/>
  <c r="Q40" i="57"/>
  <c r="Q40" i="53" l="1"/>
  <c r="Q40" i="56"/>
  <c r="Q40" i="55"/>
  <c r="Q40" i="58"/>
  <c r="I5" i="34" l="1"/>
  <c r="D71" i="52"/>
  <c r="D71" i="51"/>
  <c r="D71" i="50"/>
  <c r="D71" i="49"/>
  <c r="D71" i="48"/>
  <c r="D71" i="47"/>
  <c r="D71" i="46"/>
  <c r="D71" i="45"/>
  <c r="D71" i="44"/>
  <c r="AA2" i="35" l="1"/>
  <c r="T8" i="35" l="1"/>
  <c r="A40" i="35" s="1"/>
  <c r="C21" i="35"/>
  <c r="D21" i="35" l="1"/>
  <c r="C67" i="35"/>
  <c r="C73" i="35" s="1"/>
  <c r="C69" i="35"/>
  <c r="D69" i="35" l="1"/>
  <c r="D67" i="35"/>
  <c r="D73" i="35" s="1"/>
  <c r="E21" i="35"/>
  <c r="E67" i="35" s="1"/>
  <c r="E73" i="35" s="1"/>
  <c r="S33" i="35"/>
  <c r="E69" i="35" l="1"/>
  <c r="F21" i="35"/>
  <c r="F67" i="35" s="1"/>
  <c r="F73" i="35" s="1"/>
  <c r="C74" i="35"/>
  <c r="C71" i="35"/>
  <c r="F69" i="35" l="1"/>
  <c r="G21" i="35"/>
  <c r="G67" i="35" s="1"/>
  <c r="G73" i="35" s="1"/>
  <c r="C76" i="35"/>
  <c r="H21" i="35"/>
  <c r="H67" i="35" s="1"/>
  <c r="H73" i="35" s="1"/>
  <c r="G69" i="35"/>
  <c r="H69" i="35" l="1"/>
  <c r="K21" i="35"/>
  <c r="K67" i="35" s="1"/>
  <c r="K73" i="35" s="1"/>
  <c r="K69" i="35" l="1"/>
  <c r="L21" i="35"/>
  <c r="L67" i="35" s="1"/>
  <c r="L73" i="35" s="1"/>
  <c r="L69" i="35" l="1"/>
  <c r="M21" i="35"/>
  <c r="M67" i="35" s="1"/>
  <c r="M73" i="35" s="1"/>
  <c r="N21" i="35" l="1"/>
  <c r="N67" i="35" s="1"/>
  <c r="N73" i="35" s="1"/>
  <c r="M69" i="35"/>
  <c r="O21" i="35" l="1"/>
  <c r="O67" i="35" s="1"/>
  <c r="O73" i="35" s="1"/>
  <c r="N69" i="35"/>
  <c r="P21" i="35" l="1"/>
  <c r="O69" i="35"/>
  <c r="P69" i="35" l="1"/>
  <c r="P67" i="35"/>
  <c r="P73" i="35" s="1"/>
  <c r="W42" i="35"/>
  <c r="C1" i="62"/>
  <c r="D1" i="62" l="1"/>
  <c r="A21" i="54"/>
  <c r="A21" i="58"/>
  <c r="A21" i="55"/>
  <c r="A21" i="57"/>
  <c r="A21" i="60"/>
  <c r="A21" i="53"/>
  <c r="A21" i="56"/>
  <c r="A21" i="59"/>
  <c r="A21" i="35"/>
  <c r="D74" i="35"/>
  <c r="E74" i="35" s="1"/>
  <c r="F74" i="35" s="1"/>
  <c r="G74" i="35" s="1"/>
  <c r="H74" i="35" s="1"/>
  <c r="K74" i="35" s="1"/>
  <c r="L74" i="35" s="1"/>
  <c r="M74" i="35" s="1"/>
  <c r="N74" i="35" s="1"/>
  <c r="O74" i="35" s="1"/>
  <c r="P74" i="35" s="1"/>
  <c r="I21" i="56" l="1"/>
  <c r="C44" i="56"/>
  <c r="C49" i="56" s="1"/>
  <c r="D44" i="56"/>
  <c r="D49" i="56" s="1"/>
  <c r="D57" i="56" s="1"/>
  <c r="E44" i="56"/>
  <c r="E49" i="56" s="1"/>
  <c r="E57" i="56" s="1"/>
  <c r="F44" i="56"/>
  <c r="F49" i="56" s="1"/>
  <c r="F57" i="56" s="1"/>
  <c r="G44" i="56"/>
  <c r="G49" i="56" s="1"/>
  <c r="G57" i="56" s="1"/>
  <c r="H44" i="56"/>
  <c r="H49" i="56" s="1"/>
  <c r="H57" i="56" s="1"/>
  <c r="K44" i="56"/>
  <c r="K49" i="56" s="1"/>
  <c r="K57" i="56" s="1"/>
  <c r="L44" i="56"/>
  <c r="L49" i="56" s="1"/>
  <c r="L57" i="56" s="1"/>
  <c r="M44" i="56"/>
  <c r="M49" i="56" s="1"/>
  <c r="M57" i="56" s="1"/>
  <c r="N44" i="56"/>
  <c r="N49" i="56" s="1"/>
  <c r="N57" i="56" s="1"/>
  <c r="O44" i="56"/>
  <c r="O49" i="56" s="1"/>
  <c r="O57" i="56" s="1"/>
  <c r="P44" i="56"/>
  <c r="I21" i="55"/>
  <c r="D44" i="55"/>
  <c r="D49" i="55" s="1"/>
  <c r="D57" i="55" s="1"/>
  <c r="C44" i="55"/>
  <c r="C49" i="55" s="1"/>
  <c r="E44" i="55"/>
  <c r="E49" i="55" s="1"/>
  <c r="E57" i="55" s="1"/>
  <c r="F44" i="55"/>
  <c r="F49" i="55" s="1"/>
  <c r="F57" i="55" s="1"/>
  <c r="G44" i="55"/>
  <c r="G49" i="55" s="1"/>
  <c r="G57" i="55" s="1"/>
  <c r="H44" i="55"/>
  <c r="H49" i="55" s="1"/>
  <c r="H57" i="55" s="1"/>
  <c r="K44" i="55"/>
  <c r="K49" i="55" s="1"/>
  <c r="K57" i="55" s="1"/>
  <c r="L44" i="55"/>
  <c r="L49" i="55" s="1"/>
  <c r="L57" i="55" s="1"/>
  <c r="M44" i="55"/>
  <c r="M49" i="55" s="1"/>
  <c r="M57" i="55" s="1"/>
  <c r="N44" i="55"/>
  <c r="N49" i="55" s="1"/>
  <c r="N57" i="55" s="1"/>
  <c r="O44" i="55"/>
  <c r="O49" i="55" s="1"/>
  <c r="O57" i="55" s="1"/>
  <c r="P44" i="55"/>
  <c r="I21" i="58"/>
  <c r="C44" i="58"/>
  <c r="C49" i="58" s="1"/>
  <c r="D44" i="58"/>
  <c r="D49" i="58" s="1"/>
  <c r="D57" i="58" s="1"/>
  <c r="E44" i="58"/>
  <c r="E49" i="58" s="1"/>
  <c r="E57" i="58" s="1"/>
  <c r="F44" i="58"/>
  <c r="F49" i="58" s="1"/>
  <c r="F57" i="58" s="1"/>
  <c r="G44" i="58"/>
  <c r="G49" i="58" s="1"/>
  <c r="G57" i="58" s="1"/>
  <c r="H44" i="58"/>
  <c r="H49" i="58" s="1"/>
  <c r="H57" i="58" s="1"/>
  <c r="K44" i="58"/>
  <c r="K49" i="58" s="1"/>
  <c r="K57" i="58" s="1"/>
  <c r="L44" i="58"/>
  <c r="L49" i="58" s="1"/>
  <c r="L57" i="58" s="1"/>
  <c r="N44" i="58"/>
  <c r="N49" i="58" s="1"/>
  <c r="N57" i="58" s="1"/>
  <c r="M44" i="58"/>
  <c r="M49" i="58" s="1"/>
  <c r="M57" i="58" s="1"/>
  <c r="O44" i="58"/>
  <c r="O49" i="58" s="1"/>
  <c r="O57" i="58" s="1"/>
  <c r="P44" i="58"/>
  <c r="I21" i="53"/>
  <c r="C44" i="53"/>
  <c r="C49" i="53" s="1"/>
  <c r="D44" i="53"/>
  <c r="D49" i="53" s="1"/>
  <c r="D57" i="53" s="1"/>
  <c r="E44" i="53"/>
  <c r="E49" i="53" s="1"/>
  <c r="E57" i="53" s="1"/>
  <c r="F44" i="53"/>
  <c r="F49" i="53" s="1"/>
  <c r="F57" i="53" s="1"/>
  <c r="G44" i="53"/>
  <c r="G49" i="53" s="1"/>
  <c r="G57" i="53" s="1"/>
  <c r="H44" i="53"/>
  <c r="H49" i="53" s="1"/>
  <c r="H57" i="53" s="1"/>
  <c r="K44" i="53"/>
  <c r="K49" i="53" s="1"/>
  <c r="K57" i="53" s="1"/>
  <c r="L44" i="53"/>
  <c r="L49" i="53" s="1"/>
  <c r="L57" i="53" s="1"/>
  <c r="M44" i="53"/>
  <c r="M49" i="53" s="1"/>
  <c r="M57" i="53" s="1"/>
  <c r="N44" i="53"/>
  <c r="N49" i="53" s="1"/>
  <c r="N57" i="53" s="1"/>
  <c r="O44" i="53"/>
  <c r="O49" i="53" s="1"/>
  <c r="O57" i="53" s="1"/>
  <c r="P44" i="53"/>
  <c r="I21" i="60"/>
  <c r="C44" i="60"/>
  <c r="C49" i="60" s="1"/>
  <c r="E44" i="60"/>
  <c r="E49" i="60" s="1"/>
  <c r="E57" i="60" s="1"/>
  <c r="D44" i="60"/>
  <c r="D49" i="60" s="1"/>
  <c r="D57" i="60" s="1"/>
  <c r="F44" i="60"/>
  <c r="F49" i="60" s="1"/>
  <c r="F57" i="60" s="1"/>
  <c r="H44" i="60"/>
  <c r="H49" i="60" s="1"/>
  <c r="H57" i="60" s="1"/>
  <c r="G44" i="60"/>
  <c r="G49" i="60" s="1"/>
  <c r="G57" i="60" s="1"/>
  <c r="K44" i="60"/>
  <c r="K49" i="60" s="1"/>
  <c r="K57" i="60" s="1"/>
  <c r="L44" i="60"/>
  <c r="L49" i="60" s="1"/>
  <c r="L57" i="60" s="1"/>
  <c r="M44" i="60"/>
  <c r="M49" i="60" s="1"/>
  <c r="M57" i="60" s="1"/>
  <c r="N44" i="60"/>
  <c r="N49" i="60" s="1"/>
  <c r="N57" i="60" s="1"/>
  <c r="O44" i="60"/>
  <c r="O49" i="60" s="1"/>
  <c r="O57" i="60" s="1"/>
  <c r="P44" i="60"/>
  <c r="H21" i="26"/>
  <c r="G17" i="34"/>
  <c r="I21" i="54"/>
  <c r="C44" i="54"/>
  <c r="D44" i="54"/>
  <c r="D49" i="54" s="1"/>
  <c r="D57" i="54" s="1"/>
  <c r="E44" i="54"/>
  <c r="E49" i="54" s="1"/>
  <c r="E57" i="54" s="1"/>
  <c r="G44" i="54"/>
  <c r="G49" i="54" s="1"/>
  <c r="G57" i="54" s="1"/>
  <c r="F44" i="54"/>
  <c r="F49" i="54" s="1"/>
  <c r="F57" i="54" s="1"/>
  <c r="H44" i="54"/>
  <c r="H49" i="54" s="1"/>
  <c r="H57" i="54" s="1"/>
  <c r="K44" i="54"/>
  <c r="K49" i="54" s="1"/>
  <c r="K57" i="54" s="1"/>
  <c r="L44" i="54"/>
  <c r="L49" i="54" s="1"/>
  <c r="L57" i="54" s="1"/>
  <c r="N44" i="54"/>
  <c r="N49" i="54" s="1"/>
  <c r="N57" i="54" s="1"/>
  <c r="M44" i="54"/>
  <c r="M49" i="54" s="1"/>
  <c r="M57" i="54" s="1"/>
  <c r="P44" i="54"/>
  <c r="P49" i="54" s="1"/>
  <c r="P57" i="54" s="1"/>
  <c r="O44" i="54"/>
  <c r="O49" i="54" s="1"/>
  <c r="O57" i="54" s="1"/>
  <c r="I21" i="57"/>
  <c r="C44" i="57"/>
  <c r="C49" i="57" s="1"/>
  <c r="D44" i="57"/>
  <c r="D49" i="57" s="1"/>
  <c r="D57" i="57" s="1"/>
  <c r="E44" i="57"/>
  <c r="E49" i="57" s="1"/>
  <c r="E57" i="57" s="1"/>
  <c r="F44" i="57"/>
  <c r="F49" i="57" s="1"/>
  <c r="F57" i="57" s="1"/>
  <c r="G44" i="57"/>
  <c r="G49" i="57" s="1"/>
  <c r="G57" i="57" s="1"/>
  <c r="H44" i="57"/>
  <c r="H49" i="57" s="1"/>
  <c r="H57" i="57" s="1"/>
  <c r="K44" i="57"/>
  <c r="K49" i="57" s="1"/>
  <c r="K57" i="57" s="1"/>
  <c r="M44" i="57"/>
  <c r="M49" i="57" s="1"/>
  <c r="M57" i="57" s="1"/>
  <c r="L44" i="57"/>
  <c r="L49" i="57" s="1"/>
  <c r="L57" i="57" s="1"/>
  <c r="O44" i="57"/>
  <c r="O49" i="57" s="1"/>
  <c r="O57" i="57" s="1"/>
  <c r="N44" i="57"/>
  <c r="N49" i="57" s="1"/>
  <c r="N57" i="57" s="1"/>
  <c r="P44" i="57"/>
  <c r="I21" i="59"/>
  <c r="C44" i="59"/>
  <c r="C49" i="59" s="1"/>
  <c r="E44" i="59"/>
  <c r="E49" i="59" s="1"/>
  <c r="E57" i="59" s="1"/>
  <c r="D44" i="59"/>
  <c r="D49" i="59" s="1"/>
  <c r="D57" i="59" s="1"/>
  <c r="F44" i="59"/>
  <c r="F49" i="59" s="1"/>
  <c r="F57" i="59" s="1"/>
  <c r="G44" i="59"/>
  <c r="G49" i="59" s="1"/>
  <c r="G57" i="59" s="1"/>
  <c r="H44" i="59"/>
  <c r="H49" i="59" s="1"/>
  <c r="H57" i="59" s="1"/>
  <c r="K44" i="59"/>
  <c r="K49" i="59" s="1"/>
  <c r="K57" i="59" s="1"/>
  <c r="L44" i="59"/>
  <c r="L49" i="59" s="1"/>
  <c r="L57" i="59" s="1"/>
  <c r="M44" i="59"/>
  <c r="M49" i="59" s="1"/>
  <c r="M57" i="59" s="1"/>
  <c r="N44" i="59"/>
  <c r="N49" i="59" s="1"/>
  <c r="N57" i="59" s="1"/>
  <c r="O44" i="59"/>
  <c r="O49" i="59" s="1"/>
  <c r="O57" i="59" s="1"/>
  <c r="P44" i="59"/>
  <c r="D1" i="56"/>
  <c r="L1" i="56" s="1"/>
  <c r="D1" i="53"/>
  <c r="L1" i="53" s="1"/>
  <c r="D1" i="60"/>
  <c r="L1" i="60" s="1"/>
  <c r="D1" i="54"/>
  <c r="L1" i="54" s="1"/>
  <c r="D1" i="59"/>
  <c r="L1" i="59" s="1"/>
  <c r="D1" i="58"/>
  <c r="L1" i="58" s="1"/>
  <c r="D1" i="57"/>
  <c r="L1" i="57" s="1"/>
  <c r="D1" i="55"/>
  <c r="L1" i="55" s="1"/>
  <c r="D1" i="35"/>
  <c r="L1" i="35" s="1"/>
  <c r="A1" i="61"/>
  <c r="H5" i="52" a="1"/>
  <c r="H5" i="52" s="1"/>
  <c r="H5" i="51" a="1"/>
  <c r="H5" i="51" s="1"/>
  <c r="H5" i="50" a="1"/>
  <c r="H5" i="50" s="1"/>
  <c r="H5" i="49" a="1"/>
  <c r="H5" i="49" s="1"/>
  <c r="H5" i="48" a="1"/>
  <c r="H5" i="48" s="1"/>
  <c r="H5" i="47" a="1"/>
  <c r="H5" i="47" s="1"/>
  <c r="H5" i="46" a="1"/>
  <c r="H5" i="46" s="1"/>
  <c r="H5" i="45" a="1"/>
  <c r="H5" i="45" s="1"/>
  <c r="H5" i="44" a="1"/>
  <c r="H5" i="44" s="1"/>
  <c r="C57" i="59" l="1"/>
  <c r="Q44" i="58"/>
  <c r="P49" i="58"/>
  <c r="P57" i="58" s="1"/>
  <c r="C57" i="60"/>
  <c r="Q44" i="57"/>
  <c r="P49" i="57"/>
  <c r="P57" i="57" s="1"/>
  <c r="C49" i="54"/>
  <c r="Q44" i="54"/>
  <c r="Q44" i="56"/>
  <c r="P49" i="56"/>
  <c r="P57" i="56" s="1"/>
  <c r="Q57" i="56" s="1"/>
  <c r="Q44" i="53"/>
  <c r="P49" i="53"/>
  <c r="P57" i="53" s="1"/>
  <c r="Q57" i="53" s="1"/>
  <c r="C57" i="58"/>
  <c r="C57" i="55"/>
  <c r="Q44" i="59"/>
  <c r="P49" i="59"/>
  <c r="P57" i="59" s="1"/>
  <c r="Q57" i="59" s="1"/>
  <c r="C57" i="57"/>
  <c r="Q49" i="57"/>
  <c r="Q44" i="55"/>
  <c r="P49" i="55"/>
  <c r="P57" i="55" s="1"/>
  <c r="Q57" i="55" s="1"/>
  <c r="C57" i="56"/>
  <c r="Q44" i="60"/>
  <c r="P49" i="60"/>
  <c r="P57" i="60" s="1"/>
  <c r="C57" i="53"/>
  <c r="M83" i="45"/>
  <c r="M83" i="46"/>
  <c r="M83" i="47"/>
  <c r="M83" i="48"/>
  <c r="M83" i="49"/>
  <c r="M83" i="50"/>
  <c r="M83" i="51"/>
  <c r="M83" i="52"/>
  <c r="Q49" i="60" l="1"/>
  <c r="Q57" i="58"/>
  <c r="Q49" i="56"/>
  <c r="Q49" i="55"/>
  <c r="Q49" i="53"/>
  <c r="C57" i="54"/>
  <c r="Q57" i="54" s="1"/>
  <c r="Q49" i="54"/>
  <c r="Q49" i="59"/>
  <c r="Q57" i="60"/>
  <c r="Q49" i="58"/>
  <c r="Q57" i="57"/>
  <c r="L13" i="52"/>
  <c r="L12" i="52"/>
  <c r="L11" i="52"/>
  <c r="B5" i="52"/>
  <c r="L13" i="51"/>
  <c r="L12" i="51"/>
  <c r="L11" i="51"/>
  <c r="B5" i="51"/>
  <c r="R23" i="50"/>
  <c r="L13" i="50"/>
  <c r="L12" i="50"/>
  <c r="L11" i="50"/>
  <c r="B5" i="50"/>
  <c r="R50" i="49"/>
  <c r="L13" i="49"/>
  <c r="L12" i="49"/>
  <c r="L11" i="49"/>
  <c r="B5" i="49"/>
  <c r="L13" i="48"/>
  <c r="L12" i="48"/>
  <c r="L11" i="48"/>
  <c r="B5" i="48"/>
  <c r="L13" i="47"/>
  <c r="L12" i="47"/>
  <c r="L11" i="47"/>
  <c r="B5" i="47"/>
  <c r="L13" i="46"/>
  <c r="L12" i="46"/>
  <c r="L11" i="46"/>
  <c r="B5" i="46"/>
  <c r="M81" i="47"/>
  <c r="M77" i="47"/>
  <c r="M81" i="48"/>
  <c r="M77" i="48"/>
  <c r="M81" i="49"/>
  <c r="M77" i="49"/>
  <c r="M81" i="50"/>
  <c r="M77" i="50"/>
  <c r="M81" i="51"/>
  <c r="M77" i="51"/>
  <c r="M81" i="52"/>
  <c r="M77" i="52"/>
  <c r="M81" i="46"/>
  <c r="M77" i="46"/>
  <c r="L13" i="45"/>
  <c r="L12" i="45"/>
  <c r="L11" i="45"/>
  <c r="B5" i="45"/>
  <c r="M81" i="45"/>
  <c r="M77" i="45"/>
  <c r="J37" i="34"/>
  <c r="C37" i="34"/>
  <c r="A37" i="34"/>
  <c r="D36" i="34"/>
  <c r="C36" i="34"/>
  <c r="H37" i="34" s="1"/>
  <c r="C39" i="34"/>
  <c r="A39" i="34"/>
  <c r="D38" i="34"/>
  <c r="C38" i="34"/>
  <c r="H39" i="34" s="1"/>
  <c r="J35" i="34"/>
  <c r="C35" i="34"/>
  <c r="A35" i="34"/>
  <c r="D34" i="34"/>
  <c r="C34" i="34"/>
  <c r="H35" i="34" s="1"/>
  <c r="C33" i="34"/>
  <c r="A33" i="34"/>
  <c r="D32" i="34"/>
  <c r="C32" i="34"/>
  <c r="H33" i="34" s="1"/>
  <c r="C31" i="34"/>
  <c r="A31" i="34"/>
  <c r="D30" i="34"/>
  <c r="C30" i="34"/>
  <c r="H31" i="34" s="1"/>
  <c r="C29" i="34"/>
  <c r="A29" i="34"/>
  <c r="D28" i="34"/>
  <c r="C28" i="34"/>
  <c r="H29" i="34" s="1"/>
  <c r="C27" i="34"/>
  <c r="A27" i="34"/>
  <c r="D26" i="34"/>
  <c r="C26" i="34"/>
  <c r="H27" i="34" s="1"/>
  <c r="C25" i="34"/>
  <c r="A25" i="34"/>
  <c r="D24" i="34"/>
  <c r="C24" i="34"/>
  <c r="H25" i="34" s="1"/>
  <c r="D22" i="34"/>
  <c r="C42" i="26"/>
  <c r="B42" i="26"/>
  <c r="A42" i="26"/>
  <c r="D41" i="26"/>
  <c r="C41" i="26"/>
  <c r="A41" i="26"/>
  <c r="C40" i="26"/>
  <c r="B40" i="26"/>
  <c r="A40" i="26"/>
  <c r="D39" i="26"/>
  <c r="C39" i="26"/>
  <c r="A39" i="26"/>
  <c r="C38" i="26"/>
  <c r="B38" i="26"/>
  <c r="A38" i="26"/>
  <c r="D37" i="26"/>
  <c r="C37" i="26"/>
  <c r="A37" i="26"/>
  <c r="C36" i="26"/>
  <c r="B36" i="26"/>
  <c r="A36" i="26"/>
  <c r="D35" i="26"/>
  <c r="C35" i="26"/>
  <c r="A35" i="26"/>
  <c r="R50" i="52"/>
  <c r="J39" i="34"/>
  <c r="R23" i="52"/>
  <c r="R50" i="51"/>
  <c r="R23" i="51"/>
  <c r="B7" i="51"/>
  <c r="R50" i="50"/>
  <c r="J33" i="34"/>
  <c r="R23" i="49"/>
  <c r="B7" i="49"/>
  <c r="C34" i="26"/>
  <c r="B34" i="26"/>
  <c r="A34" i="26"/>
  <c r="D33" i="26"/>
  <c r="C33" i="26"/>
  <c r="A33" i="26"/>
  <c r="R50" i="48"/>
  <c r="J31" i="34"/>
  <c r="R23" i="48"/>
  <c r="C32" i="26"/>
  <c r="B32" i="26"/>
  <c r="A32" i="26"/>
  <c r="D31" i="26"/>
  <c r="C31" i="26"/>
  <c r="A31" i="26"/>
  <c r="R50" i="47"/>
  <c r="J29" i="34"/>
  <c r="R23" i="47"/>
  <c r="C30" i="26"/>
  <c r="B30" i="26"/>
  <c r="A30" i="26"/>
  <c r="D29" i="26"/>
  <c r="C29" i="26"/>
  <c r="A29" i="26"/>
  <c r="B7" i="50" l="1"/>
  <c r="B7" i="47"/>
  <c r="B7" i="48"/>
  <c r="B7" i="52"/>
  <c r="R50" i="46"/>
  <c r="J27" i="34"/>
  <c r="R23" i="46"/>
  <c r="B7" i="46"/>
  <c r="D27" i="26"/>
  <c r="C28" i="26"/>
  <c r="C26" i="26"/>
  <c r="B26" i="26"/>
  <c r="A26" i="26"/>
  <c r="D25" i="26"/>
  <c r="C25" i="26"/>
  <c r="A25" i="26"/>
  <c r="H37" i="26" l="1"/>
  <c r="H35" i="26"/>
  <c r="H33" i="26"/>
  <c r="H31" i="26"/>
  <c r="H29" i="26"/>
  <c r="H27" i="26"/>
  <c r="H41" i="26"/>
  <c r="H39" i="26"/>
  <c r="B28" i="26"/>
  <c r="A28" i="26"/>
  <c r="A27" i="26"/>
  <c r="C27" i="26"/>
  <c r="R50" i="45"/>
  <c r="J25" i="34"/>
  <c r="R23" i="45"/>
  <c r="B7" i="45"/>
  <c r="R21" i="51" l="1"/>
  <c r="R40" i="51" s="1"/>
  <c r="F35" i="34"/>
  <c r="F29" i="34"/>
  <c r="E33" i="34"/>
  <c r="F37" i="34" l="1"/>
  <c r="G40" i="26"/>
  <c r="F7" i="51"/>
  <c r="E37" i="34"/>
  <c r="F40" i="26"/>
  <c r="I7" i="51"/>
  <c r="R21" i="47"/>
  <c r="R40" i="47" s="1"/>
  <c r="R21" i="46"/>
  <c r="R40" i="46" s="1"/>
  <c r="E29" i="34"/>
  <c r="F32" i="26"/>
  <c r="F38" i="26"/>
  <c r="I7" i="50"/>
  <c r="F7" i="47"/>
  <c r="G32" i="26"/>
  <c r="I7" i="47"/>
  <c r="F33" i="34"/>
  <c r="I7" i="49"/>
  <c r="G36" i="26"/>
  <c r="E35" i="34"/>
  <c r="F7" i="49"/>
  <c r="G38" i="26"/>
  <c r="F7" i="50"/>
  <c r="R21" i="50"/>
  <c r="R40" i="50" s="1"/>
  <c r="R21" i="49"/>
  <c r="R40" i="49" s="1"/>
  <c r="F36" i="26"/>
  <c r="R21" i="48"/>
  <c r="R40" i="48" s="1"/>
  <c r="I7" i="48"/>
  <c r="F7" i="48"/>
  <c r="F31" i="34"/>
  <c r="E31" i="34"/>
  <c r="R21" i="52"/>
  <c r="R40" i="52" s="1"/>
  <c r="I7" i="52"/>
  <c r="F39" i="34"/>
  <c r="F7" i="52"/>
  <c r="E39" i="34"/>
  <c r="G42" i="26"/>
  <c r="F42" i="26"/>
  <c r="G34" i="26"/>
  <c r="F34" i="26"/>
  <c r="F30" i="26" l="1"/>
  <c r="F7" i="46"/>
  <c r="E27" i="34"/>
  <c r="I7" i="46"/>
  <c r="G30" i="26"/>
  <c r="F27" i="34"/>
  <c r="R21" i="45" l="1"/>
  <c r="R40" i="45" s="1"/>
  <c r="I7" i="45"/>
  <c r="E25" i="34"/>
  <c r="F7" i="45"/>
  <c r="F25" i="34"/>
  <c r="G28" i="26"/>
  <c r="F28" i="26"/>
  <c r="Q50" i="35" l="1"/>
  <c r="Q24" i="35" l="1"/>
  <c r="I24" i="35"/>
  <c r="I51" i="35"/>
  <c r="I50" i="35"/>
  <c r="G27" i="34" l="1"/>
  <c r="I27" i="34" s="1"/>
  <c r="R44" i="50" l="1"/>
  <c r="G33" i="34"/>
  <c r="I33" i="34" s="1"/>
  <c r="G31" i="34"/>
  <c r="I31" i="34" s="1"/>
  <c r="R44" i="49"/>
  <c r="R44" i="52"/>
  <c r="R44" i="48"/>
  <c r="R44" i="47"/>
  <c r="R44" i="46"/>
  <c r="R42" i="50" l="1"/>
  <c r="R48" i="50" s="1"/>
  <c r="R42" i="49"/>
  <c r="R48" i="49" s="1"/>
  <c r="R44" i="51"/>
  <c r="G37" i="34"/>
  <c r="I37" i="34" s="1"/>
  <c r="R42" i="48"/>
  <c r="R48" i="48" s="1"/>
  <c r="G29" i="34"/>
  <c r="I29" i="34" s="1"/>
  <c r="R42" i="46"/>
  <c r="R48" i="46" s="1"/>
  <c r="G39" i="34"/>
  <c r="I39" i="34" s="1"/>
  <c r="G35" i="34"/>
  <c r="I35" i="34" s="1"/>
  <c r="R42" i="52"/>
  <c r="R48" i="52" s="1"/>
  <c r="R42" i="47"/>
  <c r="R48" i="47" s="1"/>
  <c r="R42" i="51" l="1"/>
  <c r="R48" i="51" s="1"/>
  <c r="R44" i="45"/>
  <c r="G25" i="34" l="1"/>
  <c r="I25" i="34" s="1"/>
  <c r="R42" i="45"/>
  <c r="R48" i="45" s="1"/>
  <c r="C48" i="35"/>
  <c r="Q33" i="35" l="1"/>
  <c r="P48" i="35" l="1"/>
  <c r="O48" i="35"/>
  <c r="N48" i="35"/>
  <c r="M48" i="35"/>
  <c r="L48" i="35"/>
  <c r="K48" i="35"/>
  <c r="H48" i="35"/>
  <c r="G48" i="35"/>
  <c r="F48" i="35"/>
  <c r="E48" i="35"/>
  <c r="D48" i="35"/>
  <c r="I33" i="35" l="1"/>
  <c r="I23" i="35" l="1"/>
  <c r="J23" i="35" s="1"/>
  <c r="B7" i="44" l="1"/>
  <c r="W32" i="35" l="1"/>
  <c r="I29" i="35" l="1"/>
  <c r="J29" i="35" s="1"/>
  <c r="I27" i="35"/>
  <c r="J27" i="35" s="1"/>
  <c r="I28" i="35"/>
  <c r="J28" i="35" s="1"/>
  <c r="I26" i="35"/>
  <c r="J26" i="35" s="1"/>
  <c r="Q36" i="35"/>
  <c r="J23" i="34" s="1"/>
  <c r="Q35" i="35"/>
  <c r="Q34" i="35"/>
  <c r="Q32" i="35"/>
  <c r="Q31" i="35"/>
  <c r="Q28" i="35"/>
  <c r="Q25" i="35"/>
  <c r="I30" i="35"/>
  <c r="J30" i="35" s="1"/>
  <c r="Q27" i="35" l="1"/>
  <c r="Q29" i="35"/>
  <c r="F42" i="35" l="1"/>
  <c r="P43" i="35"/>
  <c r="C43" i="35" l="1"/>
  <c r="C42" i="35"/>
  <c r="F43" i="35"/>
  <c r="P42" i="35"/>
  <c r="Q22" i="35"/>
  <c r="B5" i="44"/>
  <c r="M77" i="44"/>
  <c r="H43" i="35" l="1"/>
  <c r="H42" i="35"/>
  <c r="Q23" i="35"/>
  <c r="Q30" i="35"/>
  <c r="K42" i="35" l="1"/>
  <c r="G43" i="35"/>
  <c r="L42" i="35"/>
  <c r="M43" i="35"/>
  <c r="E43" i="35"/>
  <c r="O42" i="35"/>
  <c r="N43" i="35"/>
  <c r="D43" i="35"/>
  <c r="D42" i="35"/>
  <c r="E42" i="35"/>
  <c r="K43" i="35"/>
  <c r="O43" i="35"/>
  <c r="L43" i="35"/>
  <c r="N42" i="35"/>
  <c r="G42" i="35"/>
  <c r="M42" i="35"/>
  <c r="Q37" i="35"/>
  <c r="L13" i="44"/>
  <c r="L12" i="44"/>
  <c r="L11" i="44"/>
  <c r="M81" i="44"/>
  <c r="M79" i="44"/>
  <c r="G26" i="26" l="1"/>
  <c r="F26" i="26"/>
  <c r="Q52" i="35" l="1"/>
  <c r="I52" i="35"/>
  <c r="I49" i="35"/>
  <c r="I48" i="35"/>
  <c r="Q47" i="35"/>
  <c r="I47" i="35"/>
  <c r="Q46" i="35"/>
  <c r="R50" i="44" s="1"/>
  <c r="I39" i="35"/>
  <c r="I38" i="35"/>
  <c r="I37" i="35"/>
  <c r="I36" i="35"/>
  <c r="I35" i="35"/>
  <c r="I34" i="35"/>
  <c r="I32" i="35"/>
  <c r="R23" i="44"/>
  <c r="I31" i="35"/>
  <c r="I45" i="35" l="1"/>
  <c r="J45" i="35" s="1"/>
  <c r="Q48" i="35"/>
  <c r="C23" i="34" l="1"/>
  <c r="A23" i="34"/>
  <c r="C22" i="34"/>
  <c r="I58" i="35" l="1"/>
  <c r="I57" i="35"/>
  <c r="I56" i="35"/>
  <c r="P55" i="35"/>
  <c r="O55" i="35"/>
  <c r="N55" i="35"/>
  <c r="M55" i="35"/>
  <c r="L55" i="35"/>
  <c r="K55" i="35"/>
  <c r="I55" i="35"/>
  <c r="H55" i="35"/>
  <c r="G55" i="35"/>
  <c r="F55" i="35"/>
  <c r="E55" i="35"/>
  <c r="D55" i="35"/>
  <c r="C55" i="35"/>
  <c r="Q54" i="35"/>
  <c r="I46" i="35"/>
  <c r="J46" i="35" s="1"/>
  <c r="I44" i="35"/>
  <c r="I43" i="35"/>
  <c r="I42" i="35"/>
  <c r="I25" i="35"/>
  <c r="I22" i="35"/>
  <c r="J22" i="35" s="1"/>
  <c r="I21" i="35"/>
  <c r="Y14" i="35"/>
  <c r="W37" i="35"/>
  <c r="I2" i="35"/>
  <c r="I1" i="35"/>
  <c r="W34" i="35" l="1"/>
  <c r="W29" i="35"/>
  <c r="I40" i="35"/>
  <c r="I41" i="35"/>
  <c r="Y15" i="35"/>
  <c r="Q56" i="35"/>
  <c r="U4" i="35"/>
  <c r="V4" i="35" l="1"/>
  <c r="Q26" i="35" l="1"/>
  <c r="J41" i="34" l="1"/>
  <c r="R21" i="44" l="1"/>
  <c r="R40" i="44" s="1"/>
  <c r="F23" i="34"/>
  <c r="E23" i="34"/>
  <c r="Q42" i="35"/>
  <c r="Q43" i="35"/>
  <c r="I7" i="44"/>
  <c r="F7" i="44"/>
  <c r="C58" i="35" l="1"/>
  <c r="C79" i="35" l="1"/>
  <c r="C51" i="35"/>
  <c r="H58" i="35"/>
  <c r="D58" i="35"/>
  <c r="C77" i="35" l="1"/>
  <c r="C80" i="35"/>
  <c r="C38" i="35" s="1"/>
  <c r="D71" i="35"/>
  <c r="D76" i="35" s="1"/>
  <c r="D79" i="35" s="1"/>
  <c r="D80" i="35" s="1"/>
  <c r="D38" i="35" s="1"/>
  <c r="D39" i="35" s="1"/>
  <c r="D45" i="35" s="1"/>
  <c r="E58" i="35"/>
  <c r="C39" i="35" l="1"/>
  <c r="C81" i="35" s="1"/>
  <c r="D44" i="35"/>
  <c r="D81" i="35"/>
  <c r="D77" i="35"/>
  <c r="D40" i="35"/>
  <c r="D41" i="35"/>
  <c r="E71" i="35"/>
  <c r="E76" i="35" s="1"/>
  <c r="D51" i="35"/>
  <c r="G58" i="35"/>
  <c r="K58" i="35"/>
  <c r="F58" i="35"/>
  <c r="L58" i="35"/>
  <c r="C45" i="35" l="1"/>
  <c r="C44" i="35"/>
  <c r="C40" i="35"/>
  <c r="C41" i="35"/>
  <c r="E79" i="35"/>
  <c r="E80" i="35" s="1"/>
  <c r="E38" i="35" s="1"/>
  <c r="E39" i="35" s="1"/>
  <c r="E45" i="35" s="1"/>
  <c r="D49" i="35"/>
  <c r="D57" i="35" s="1"/>
  <c r="F71" i="35"/>
  <c r="F76" i="35" s="1"/>
  <c r="E51" i="35"/>
  <c r="M58" i="35"/>
  <c r="C49" i="35" l="1"/>
  <c r="C57" i="35" s="1"/>
  <c r="E41" i="35"/>
  <c r="E44" i="35"/>
  <c r="E81" i="35"/>
  <c r="E40" i="35"/>
  <c r="E77" i="35"/>
  <c r="G71" i="35"/>
  <c r="N58" i="35"/>
  <c r="F79" i="35" l="1"/>
  <c r="E49" i="35"/>
  <c r="E57" i="35" s="1"/>
  <c r="G76" i="35"/>
  <c r="H71" i="35"/>
  <c r="O58" i="35"/>
  <c r="J40" i="26"/>
  <c r="J38" i="26"/>
  <c r="J36" i="26"/>
  <c r="J34" i="26"/>
  <c r="F77" i="35" l="1"/>
  <c r="F80" i="35"/>
  <c r="F38" i="35" s="1"/>
  <c r="F39" i="35" s="1"/>
  <c r="F45" i="35" s="1"/>
  <c r="G79" i="35"/>
  <c r="G80" i="35" s="1"/>
  <c r="G38" i="35" s="1"/>
  <c r="G39" i="35" s="1"/>
  <c r="G45" i="35" s="1"/>
  <c r="H76" i="35"/>
  <c r="K71" i="35"/>
  <c r="P58" i="35"/>
  <c r="J42" i="26"/>
  <c r="F41" i="35" l="1"/>
  <c r="F40" i="35"/>
  <c r="F81" i="35"/>
  <c r="F44" i="35"/>
  <c r="G81" i="35"/>
  <c r="G77" i="35"/>
  <c r="G41" i="35"/>
  <c r="G40" i="35"/>
  <c r="G44" i="35"/>
  <c r="H79" i="35"/>
  <c r="H80" i="35" s="1"/>
  <c r="H38" i="35" s="1"/>
  <c r="K76" i="35"/>
  <c r="L71" i="35"/>
  <c r="Q58" i="35"/>
  <c r="J32" i="26"/>
  <c r="H39" i="35" l="1"/>
  <c r="H45" i="35" s="1"/>
  <c r="H77" i="35"/>
  <c r="K79" i="35" s="1"/>
  <c r="K80" i="35" s="1"/>
  <c r="K38" i="35" s="1"/>
  <c r="L76" i="35"/>
  <c r="M71" i="35"/>
  <c r="J30" i="26"/>
  <c r="H41" i="35" l="1"/>
  <c r="H44" i="35"/>
  <c r="H81" i="35"/>
  <c r="K39" i="35"/>
  <c r="K45" i="35" s="1"/>
  <c r="H40" i="35"/>
  <c r="K77" i="35"/>
  <c r="L79" i="35" s="1"/>
  <c r="L80" i="35" s="1"/>
  <c r="L38" i="35" s="1"/>
  <c r="M76" i="35"/>
  <c r="N71" i="35"/>
  <c r="K41" i="35" l="1"/>
  <c r="K44" i="35"/>
  <c r="K81" i="35"/>
  <c r="K40" i="35"/>
  <c r="L39" i="35"/>
  <c r="L45" i="35" s="1"/>
  <c r="L77" i="35"/>
  <c r="N76" i="35"/>
  <c r="O71" i="35"/>
  <c r="L44" i="35" l="1"/>
  <c r="L81" i="35"/>
  <c r="L40" i="35"/>
  <c r="L41" i="35"/>
  <c r="M79" i="35"/>
  <c r="M80" i="35" s="1"/>
  <c r="M38" i="35" s="1"/>
  <c r="O76" i="35"/>
  <c r="P71" i="35"/>
  <c r="P76" i="35" s="1"/>
  <c r="J28" i="26"/>
  <c r="M77" i="35" l="1"/>
  <c r="N79" i="35" s="1"/>
  <c r="N80" i="35" s="1"/>
  <c r="N38" i="35" s="1"/>
  <c r="M39" i="35"/>
  <c r="M45" i="35" s="1"/>
  <c r="H49" i="35"/>
  <c r="F49" i="35"/>
  <c r="M41" i="35" l="1"/>
  <c r="M44" i="35"/>
  <c r="M81" i="35"/>
  <c r="N77" i="35"/>
  <c r="N39" i="35"/>
  <c r="N45" i="35" s="1"/>
  <c r="M40" i="35"/>
  <c r="H51" i="35"/>
  <c r="H57" i="35"/>
  <c r="F51" i="35"/>
  <c r="F57" i="35"/>
  <c r="G49" i="35"/>
  <c r="N41" i="35" l="1"/>
  <c r="N44" i="35"/>
  <c r="N81" i="35"/>
  <c r="N40" i="35"/>
  <c r="O79" i="35"/>
  <c r="O80" i="35" s="1"/>
  <c r="O38" i="35" s="1"/>
  <c r="G51" i="35"/>
  <c r="G57" i="35"/>
  <c r="K49" i="35"/>
  <c r="O77" i="35" l="1"/>
  <c r="O39" i="35"/>
  <c r="O45" i="35" s="1"/>
  <c r="K51" i="35"/>
  <c r="K57" i="35"/>
  <c r="L49" i="35"/>
  <c r="L57" i="35" s="1"/>
  <c r="O41" i="35" l="1"/>
  <c r="O44" i="35"/>
  <c r="O81" i="35"/>
  <c r="O40" i="35"/>
  <c r="P79" i="35"/>
  <c r="P80" i="35" s="1"/>
  <c r="P38" i="35" s="1"/>
  <c r="L51" i="35"/>
  <c r="P77" i="35" l="1"/>
  <c r="P39" i="35"/>
  <c r="P45" i="35" s="1"/>
  <c r="Q38" i="35"/>
  <c r="N49" i="35"/>
  <c r="P41" i="35" l="1"/>
  <c r="Q41" i="35" s="1"/>
  <c r="P44" i="35"/>
  <c r="Q44" i="35" s="1"/>
  <c r="R44" i="44" s="1"/>
  <c r="P81" i="35"/>
  <c r="Q81" i="35" s="1"/>
  <c r="H23" i="34" s="1"/>
  <c r="H41" i="34" s="1"/>
  <c r="P40" i="35"/>
  <c r="Q40" i="35" s="1"/>
  <c r="Q39" i="35"/>
  <c r="G23" i="34" s="1"/>
  <c r="N51" i="35"/>
  <c r="N57" i="35"/>
  <c r="M49" i="35"/>
  <c r="M57" i="35" s="1"/>
  <c r="R42" i="44" l="1"/>
  <c r="R48" i="44" s="1"/>
  <c r="H25" i="26"/>
  <c r="W45" i="35"/>
  <c r="I23" i="34"/>
  <c r="I41" i="34" s="1"/>
  <c r="G41" i="34"/>
  <c r="M51" i="35"/>
  <c r="P49" i="35"/>
  <c r="P57" i="35" s="1"/>
  <c r="O49" i="35"/>
  <c r="O57" i="35" s="1"/>
  <c r="H43" i="26" l="1"/>
  <c r="AA6" i="54" s="1"/>
  <c r="G1" i="35"/>
  <c r="P1" i="35"/>
  <c r="J26" i="26"/>
  <c r="P51" i="35"/>
  <c r="Q49" i="35"/>
  <c r="Q45" i="35"/>
  <c r="O51" i="35"/>
  <c r="AA6" i="56" l="1"/>
  <c r="AA6" i="53"/>
  <c r="AA6" i="60"/>
  <c r="AA6" i="55"/>
  <c r="AA6" i="58"/>
  <c r="AA6" i="59"/>
  <c r="AA6" i="57"/>
  <c r="AA6" i="35"/>
  <c r="A18" i="26"/>
  <c r="Q51" i="35"/>
  <c r="Q57" i="3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<sst xmlns="http://schemas.openxmlformats.org/spreadsheetml/2006/main" count="2579" uniqueCount="310">
  <si>
    <t>Erster Tag des Jahres</t>
  </si>
  <si>
    <t>Jahrgang</t>
  </si>
  <si>
    <t>Minus</t>
  </si>
  <si>
    <t>AN-Beiträge</t>
  </si>
  <si>
    <t>AHV</t>
  </si>
  <si>
    <t>ALV</t>
  </si>
  <si>
    <t>Freibetrag</t>
  </si>
  <si>
    <t>BVG Grenze</t>
  </si>
  <si>
    <t>Vereinfachtes Verfahren</t>
  </si>
  <si>
    <t>1. Introduction et utilisation</t>
  </si>
  <si>
    <t>Cette fiche de salaire s’adresse aux personnes participant au projet pilote "Modèle bernois". Le programme, disponible au format Excel, sert à calculer les salaires et les cotisations aux assurances sociales du personnel d’assistance.
Le fichier annuel est prévu pour 9 prestataires d’assistance (PA). Une feuille (onglet) doit être remplie par prestataire d’assistance. Les onglets concernant les personnes qui ont quitté leur emploi ne doivent pas être supprimés.</t>
  </si>
  <si>
    <t>Vous trouverez plus d'informations ici :</t>
  </si>
  <si>
    <t>--&gt;</t>
  </si>
  <si>
    <t>https://www.gsi.be.ch/de/start/themen/soziales/behinderung/blg/berner-modell.html</t>
  </si>
  <si>
    <t xml:space="preserve"> Les champs à remplir sont grisés</t>
  </si>
  <si>
    <t xml:space="preserve">Lorsque les informations ne sont pas saisies correctement, sont contradictoires ou incomplètes,
un message d’erreur ou une remarque apparaît. (À droite du décompte de salaire dans les feuilles "AP1" à "AP9")
</t>
  </si>
  <si>
    <t>Veuillez contrôler et corriger les données saisies selon les indications données. En cas de doute, n’hésitez pas à prendre contact avec le Service de coordination.</t>
  </si>
  <si>
    <t>Remarque</t>
  </si>
  <si>
    <t>Message d'erreur</t>
  </si>
  <si>
    <t xml:space="preserve"> En aucun cas procéder au calcul des salaires tant qu’un message d’erreur apparaît.</t>
  </si>
  <si>
    <t>2. Saisir les données de base</t>
  </si>
  <si>
    <t>dans les onglets "AP1" à "AP9":</t>
  </si>
  <si>
    <t>Avant le premier décompte de salaire, les données personnelles et salariales de l'assistant doivent être entièrement enregistrées.</t>
  </si>
  <si>
    <t xml:space="preserve">    1. Données de l'employeur</t>
  </si>
  <si>
    <t>dans l'onglet "AP1" - cellule A1</t>
  </si>
  <si>
    <t xml:space="preserve">    2. Données d'employé</t>
  </si>
  <si>
    <t>"Données personnelles"</t>
  </si>
  <si>
    <t xml:space="preserve">    3. Données du contrat de travail</t>
  </si>
  <si>
    <t>"Données salariales": taux d'occupation, salaire, etc.</t>
  </si>
  <si>
    <t xml:space="preserve">    4. Cotisations de l'employé (assurances sociales)</t>
  </si>
  <si>
    <t>à droite du décompte de salaire</t>
  </si>
  <si>
    <r>
      <rPr>
        <b/>
        <sz val="10"/>
        <color rgb="FFFF0000"/>
        <rFont val="Arial"/>
        <family val="2"/>
      </rPr>
      <t>Attention</t>
    </r>
    <r>
      <rPr>
        <sz val="10"/>
        <rFont val="Arial"/>
        <family val="2"/>
      </rPr>
      <t>: les ajustements ultérieurs des données de base modifieront également les salaires déjà réglés.</t>
    </r>
  </si>
  <si>
    <t>3. Décomptes de salaire</t>
  </si>
  <si>
    <t>Après la saisie des données de base, les décomptes de salaire mensuels peuvent être établis en continu :</t>
  </si>
  <si>
    <t xml:space="preserve">    1. enregistrement des heures d'assistance travaillées (en cas d'emploi horaire).</t>
  </si>
  <si>
    <t>- Déduction automatique des cotisations de l'employé (exemple : AVS, AC, ANP, etc.)</t>
  </si>
  <si>
    <t>- Toute retenue sur le salaire doit être inscrite avec un signe "moins" (exemple : Impôt à la source ordinaire).</t>
  </si>
  <si>
    <t>- les suppléments éventuels doivent être inscrits sans signe "plus" ou "moins" (exemple : allocations familiales)</t>
  </si>
  <si>
    <t xml:space="preserve">    2. le paiement du salaire net à l'assistant</t>
  </si>
  <si>
    <t>selon la ligne "salaire net"</t>
  </si>
  <si>
    <t>4. Déclaration des salaires dans "AssistMe" (Décompte Modèle Bernois)</t>
  </si>
  <si>
    <t xml:space="preserve">Dès que le salaire a été calculé et versé à l'employé, il peut être déclaré dans l'application "AssistMe" (Décompte Modèle Bernois). Les chiffres qui doivent être reportés dans l'application "AssistMe" s’affichent dans la partie inférieure du décompte de salaire: </t>
  </si>
  <si>
    <t>AssistMe</t>
  </si>
  <si>
    <t>5. Cas spéciaux</t>
  </si>
  <si>
    <t>-</t>
  </si>
  <si>
    <t>Les ajustements ultérieurs des données de base modifieront également les salaires déjà réglés.</t>
  </si>
  <si>
    <t>En cas de modification des données personnelles ou salariales, veuillez contacter le Service de coordination du Modèle Bernois</t>
  </si>
  <si>
    <t>Pour les employés étrangers (permis de séjour B, L, F ou N), l’impôt à la source doit être recalculé tous les mois</t>
  </si>
  <si>
    <t>6. Clôture annuelle (fin d’année)</t>
  </si>
  <si>
    <t xml:space="preserve">En tant qu'employeur vous devez faire la clôture annuelle en fin d'année. Envoyez l’attestation de salaire à l’agence AVS et/ou le certificat de salaire à l’intendance des impôts d’ici au 31 janvier au plus tard. </t>
  </si>
  <si>
    <t>7. Helpline / Contact</t>
  </si>
  <si>
    <t>Nous répondons volontiers à toutes vos questions concernant l’utilisation du programme de salaire:</t>
  </si>
  <si>
    <t>031 300 33 70</t>
  </si>
  <si>
    <r>
      <rPr>
        <sz val="10"/>
        <color theme="10"/>
        <rFont val="Arial"/>
        <family val="2"/>
      </rPr>
      <t xml:space="preserve">  </t>
    </r>
    <r>
      <rPr>
        <u/>
        <sz val="10"/>
        <color theme="10"/>
        <rFont val="Arial"/>
        <family val="2"/>
      </rPr>
      <t xml:space="preserve">info@bernermodell.ch </t>
    </r>
  </si>
  <si>
    <t>Nom/Prénom employeur</t>
  </si>
  <si>
    <t>Informations:</t>
  </si>
  <si>
    <t>par année</t>
  </si>
  <si>
    <t>par jour</t>
  </si>
  <si>
    <t>Lieu employeur</t>
  </si>
  <si>
    <t>Salaire brut annuel selon le taux d'occupation:</t>
  </si>
  <si>
    <t>Abrechnungs-verfahren</t>
  </si>
  <si>
    <t>Données personnelles concernant le personnel d’assistance</t>
  </si>
  <si>
    <t xml:space="preserve"> Données salariales concernant le personnel d’assistance</t>
  </si>
  <si>
    <t>Montant théoretique déduit du budget:</t>
  </si>
  <si>
    <t>Geschlecht</t>
  </si>
  <si>
    <t>Angaben für VA</t>
  </si>
  <si>
    <t>Angehörigkeit</t>
  </si>
  <si>
    <t>Angehörige</t>
  </si>
  <si>
    <t>Min/Max-Lohn</t>
  </si>
  <si>
    <t>Assistenzbeitrag der IV</t>
  </si>
  <si>
    <t>Nom</t>
  </si>
  <si>
    <t>N° AVS</t>
  </si>
  <si>
    <t>Calcul du salaire brut</t>
  </si>
  <si>
    <t>à choisir</t>
  </si>
  <si>
    <t>ouihreslohnkosten</t>
  </si>
  <si>
    <t>Prénom</t>
  </si>
  <si>
    <t>Date de naissance</t>
  </si>
  <si>
    <t>Assurances sociales</t>
  </si>
  <si>
    <t>Cotisations de l'employé/e</t>
  </si>
  <si>
    <t>masculin</t>
  </si>
  <si>
    <t>simplifiée</t>
  </si>
  <si>
    <t>aucun</t>
  </si>
  <si>
    <t>Bruttolohn</t>
  </si>
  <si>
    <t>oui</t>
  </si>
  <si>
    <t>Rue/n°</t>
  </si>
  <si>
    <t>Activité</t>
  </si>
  <si>
    <t>AVS / AI / APG</t>
  </si>
  <si>
    <t>féminin</t>
  </si>
  <si>
    <t>ordinaire</t>
  </si>
  <si>
    <t>Conjoint-e</t>
  </si>
  <si>
    <t>non</t>
  </si>
  <si>
    <t>NPA/localité</t>
  </si>
  <si>
    <t>Parenté</t>
  </si>
  <si>
    <t>AC</t>
  </si>
  <si>
    <t>Partenariat enrégistré</t>
  </si>
  <si>
    <t>Sexe</t>
  </si>
  <si>
    <t>Lohnart</t>
  </si>
  <si>
    <t>13. ML</t>
  </si>
  <si>
    <t>%-Satz für Berechnung KD</t>
  </si>
  <si>
    <t>Concubin-e</t>
  </si>
  <si>
    <t>Etat civil</t>
  </si>
  <si>
    <t>Le travail est-il effectué sur appel?</t>
  </si>
  <si>
    <t>Accidents non professionnels (ANP)</t>
  </si>
  <si>
    <t>en %</t>
  </si>
  <si>
    <t>Parents</t>
  </si>
  <si>
    <t>Nationalité</t>
  </si>
  <si>
    <t>Contribution d'assistance AI</t>
  </si>
  <si>
    <t>Salaire mensuel</t>
  </si>
  <si>
    <t>Enfant</t>
  </si>
  <si>
    <t>2. Salaire horaire</t>
  </si>
  <si>
    <t>Permis de séjour</t>
  </si>
  <si>
    <t>Procédure de décompte d'AVS</t>
  </si>
  <si>
    <t>Ind. journ. (IJM)</t>
  </si>
  <si>
    <t>Salaire horaire</t>
  </si>
  <si>
    <t>Grands-parents</t>
  </si>
  <si>
    <t>Début du contrat de travail</t>
  </si>
  <si>
    <t>Banque</t>
  </si>
  <si>
    <t>Petit-fils/fille</t>
  </si>
  <si>
    <t>Fin du contrat de travail</t>
  </si>
  <si>
    <t>IBAN</t>
  </si>
  <si>
    <t>LPP  par mois</t>
  </si>
  <si>
    <t>en CHF</t>
  </si>
  <si>
    <t>Frère/soeur</t>
  </si>
  <si>
    <t>Type de salaire</t>
  </si>
  <si>
    <t>Bénéficiaire</t>
  </si>
  <si>
    <t>LPP</t>
  </si>
  <si>
    <t>ou en %</t>
  </si>
  <si>
    <t>Oncle/tante</t>
  </si>
  <si>
    <t>Date de la retraite</t>
  </si>
  <si>
    <t>Gendre/belle-fille</t>
  </si>
  <si>
    <t>Signalement des erreurs / remarques</t>
  </si>
  <si>
    <t>voisins</t>
  </si>
  <si>
    <t>Décompte de salaire</t>
  </si>
  <si>
    <t>autres</t>
  </si>
  <si>
    <t>Total</t>
  </si>
  <si>
    <t>Repas &amp; logement</t>
  </si>
  <si>
    <t>CHF</t>
  </si>
  <si>
    <t>Oblig. de verser le salaire (art. 324a CO) (soumis à l'AVS)</t>
  </si>
  <si>
    <t>Oblig. de verser le salaire
(soumis à l'AVS)</t>
  </si>
  <si>
    <t>Allocation maternité / militaire (soumis à l'AVS)</t>
  </si>
  <si>
    <t>Indemnité d'assurance
(non soumis AVS)</t>
  </si>
  <si>
    <t>Allocations familiales</t>
  </si>
  <si>
    <t>Salaire brut</t>
  </si>
  <si>
    <t>Franchise rentier AVS</t>
  </si>
  <si>
    <t>AVS montant brut</t>
  </si>
  <si>
    <t>Frais effectifs</t>
  </si>
  <si>
    <t>Salaire net</t>
  </si>
  <si>
    <t>Salaire net payé</t>
  </si>
  <si>
    <t>Différence</t>
  </si>
  <si>
    <t>Remarques</t>
  </si>
  <si>
    <t>Données pour AssistMe:</t>
  </si>
  <si>
    <t>Nombre d'heures</t>
  </si>
  <si>
    <t>h</t>
  </si>
  <si>
    <t>Std.</t>
  </si>
  <si>
    <t>Dont oblig. de verser le salaire (art. 324a CO)</t>
  </si>
  <si>
    <t>Rentner?</t>
  </si>
  <si>
    <t>AHV-Lohn</t>
  </si>
  <si>
    <t>AHV-Lohn kum</t>
  </si>
  <si>
    <t>Freibetrag kum</t>
  </si>
  <si>
    <t>AHV-Basis Total</t>
  </si>
  <si>
    <t>kum-AHV Basis</t>
  </si>
  <si>
    <t>AHV-Basis</t>
  </si>
  <si>
    <t>ALV-Basis</t>
  </si>
  <si>
    <t>Attestation de salaires pour la procédure de décompte simplifiée selon la loi fédérale sur le travail au noir (LTN)</t>
  </si>
  <si>
    <t>Date</t>
  </si>
  <si>
    <r>
      <t xml:space="preserve">La procédure de décompte simplifiée ne peut </t>
    </r>
    <r>
      <rPr>
        <b/>
        <sz val="10"/>
        <color rgb="FFFF0000"/>
        <rFont val="Arial"/>
        <family val="2"/>
      </rPr>
      <t>pas</t>
    </r>
    <r>
      <rPr>
        <sz val="10"/>
        <color rgb="FF000000"/>
        <rFont val="Arial"/>
        <family val="2"/>
      </rPr>
      <t xml:space="preserve"> être  </t>
    </r>
  </si>
  <si>
    <t>Numéro de décompte</t>
  </si>
  <si>
    <t>appliquée dans les cas suivants :</t>
  </si>
  <si>
    <t>Nom et adresse de l'employeur</t>
  </si>
  <si>
    <t>A rappeler dans la réponse !</t>
  </si>
  <si>
    <t xml:space="preserve">  par personne.</t>
  </si>
  <si>
    <t>à remettre à l'agence AVS</t>
  </si>
  <si>
    <t xml:space="preserve">- lorsque le salaire annuel brut de l'ensemble du </t>
  </si>
  <si>
    <t>Agence AVS</t>
  </si>
  <si>
    <t xml:space="preserve">- lorsque le personnel se compose exclusivement de </t>
  </si>
  <si>
    <t xml:space="preserve">  collaborateurs qui ont dépassé l'âge de la retraite.</t>
  </si>
  <si>
    <t xml:space="preserve">  </t>
  </si>
  <si>
    <t>ATTENTION</t>
  </si>
  <si>
    <t>Dans ces cas il faut alors établir un certificat de salaire ordinaire et procéder à un décompte du salaire en bonne et due forme auprès de l'AVS.</t>
  </si>
  <si>
    <t>LTN</t>
  </si>
  <si>
    <t>Liens:</t>
  </si>
  <si>
    <t>Attestation de salaire AVS ordinaire</t>
  </si>
  <si>
    <t>Période de décompte:</t>
  </si>
  <si>
    <t>Nom, prénom</t>
  </si>
  <si>
    <t>Durée de cotisations</t>
  </si>
  <si>
    <t>Salaire déterminant AVS / AI / APG / AC / CAF / LFA et impôt à la source</t>
  </si>
  <si>
    <t>Adresse</t>
  </si>
  <si>
    <t>Date de naissance / Sexe</t>
  </si>
  <si>
    <t>du</t>
  </si>
  <si>
    <t>au</t>
  </si>
  <si>
    <t>NPA, localité de l'employée</t>
  </si>
  <si>
    <t>Numéro d'assurée</t>
  </si>
  <si>
    <t>(jour/mois)</t>
  </si>
  <si>
    <t xml:space="preserve">, </t>
  </si>
  <si>
    <t>Où avez-vous assuré votre personnel contre les accidents (LAA) ?</t>
  </si>
  <si>
    <r>
      <t xml:space="preserve">La personne soussigné déclare avoir indiqué </t>
    </r>
    <r>
      <rPr>
        <b/>
        <sz val="9"/>
        <rFont val="Arial"/>
        <family val="2"/>
      </rPr>
      <t>toutes</t>
    </r>
    <r>
      <rPr>
        <sz val="9"/>
        <rFont val="Arial"/>
        <family val="2"/>
      </rPr>
      <t xml:space="preserve"> les rémunérations soumises à cotisations (y compris salaires en nature) sur la présente attestation de salaires
</t>
    </r>
    <r>
      <rPr>
        <b/>
        <sz val="9"/>
        <rFont val="Arial"/>
        <family val="2"/>
      </rPr>
      <t>ou</t>
    </r>
    <r>
      <rPr>
        <sz val="9"/>
        <rFont val="Arial"/>
        <family val="2"/>
      </rPr>
      <t xml:space="preserve">
la personne soussigné déclare n'avoir versé </t>
    </r>
    <r>
      <rPr>
        <b/>
        <sz val="9"/>
        <rFont val="Arial"/>
        <family val="2"/>
      </rPr>
      <t>aucune</t>
    </r>
    <r>
      <rPr>
        <sz val="9"/>
        <rFont val="Arial"/>
        <family val="2"/>
      </rPr>
      <t xml:space="preserve"> rémunération soumise à cotisations (y compris salaires en espèces).</t>
    </r>
  </si>
  <si>
    <t xml:space="preserve">      Nous n'avons pas versé de salaire.</t>
  </si>
  <si>
    <t xml:space="preserve">      Nous n'employons plus de personnel et souhaitons être radiés de la</t>
  </si>
  <si>
    <t xml:space="preserve">      procédure de décompte simplifiée selon la LTN pour la fin de l'année.</t>
  </si>
  <si>
    <t>Autres communications de l'employeur :</t>
  </si>
  <si>
    <t>Lieu et date</t>
  </si>
  <si>
    <t>Signature de l'employeur</t>
  </si>
  <si>
    <t>Attestation de salaires et
décompte d'allocations familiales</t>
  </si>
  <si>
    <t>En cas de procédure de décompte ordinaire, un certificat de salaire doit être établi.</t>
  </si>
  <si>
    <r>
      <t xml:space="preserve">Salaire
déterminant
AVS / AI / APG
</t>
    </r>
    <r>
      <rPr>
        <b/>
        <sz val="7.5"/>
        <rFont val="Arial"/>
        <family val="2"/>
      </rPr>
      <t>(Salaires en
espèces et nature)</t>
    </r>
  </si>
  <si>
    <t>Salaire
déterminant pour
l'assurance-
chômage, maximum
par année</t>
  </si>
  <si>
    <t>Salaire déterminant
pour le régime des
allocations familiales
(CAF/LFA)</t>
  </si>
  <si>
    <t>Droit aux
allocations
familiales selon
justificatif</t>
  </si>
  <si>
    <t>Nom et prénom des salariés</t>
  </si>
  <si>
    <t>Nom de votre assurance accidents LAA :</t>
  </si>
  <si>
    <t>Nom de l'institution de prévoyance LPP :</t>
  </si>
  <si>
    <t>Salaire total prévu pour la nouvelle année: Fr.</t>
  </si>
  <si>
    <t>La personne soussigné déclare avoir indiqué toutes les rémunérations soumises à cotisations (y compris salaires en nature) sur la présente attestation de salaires
ou
la personne soussigné déclare n'avoir versé aucune rémunération soumise à cotisations (y compris salaires en espèces).</t>
  </si>
  <si>
    <t>Allocations familiales prévues pour la nouvelle année: Fr.</t>
  </si>
  <si>
    <t>Autres communications:</t>
  </si>
  <si>
    <t>A</t>
  </si>
  <si>
    <t>X</t>
  </si>
  <si>
    <t>Lohnausweis - Certificat de salaire - Certificato di salario</t>
  </si>
  <si>
    <t>B</t>
  </si>
  <si>
    <t>Rentenbescheinigung - Attestation de rentes - Attestazione delle rendite</t>
  </si>
  <si>
    <t>C</t>
  </si>
  <si>
    <t>F</t>
  </si>
  <si>
    <t>Unentgeltliche Beförderung zwischen Wohn- und Arbeitsort
Transport gratuit entre le domicile et le lieu de travail
Trasporto gratuito dal domicilio al luogo di lavoro</t>
  </si>
  <si>
    <t>AHV-Nr. - No AVS - N.AVS</t>
  </si>
  <si>
    <t>Geburtsdatum – Date de naissance – Data di nascita</t>
  </si>
  <si>
    <t>D</t>
  </si>
  <si>
    <t>E</t>
  </si>
  <si>
    <t>G</t>
  </si>
  <si>
    <t>Kantinenverpflegung/Lunch-Checks
Repas à la cantine/chèques-repas
Pasti alla mensa/buoni pasto</t>
  </si>
  <si>
    <t>Jahr - Anné - Anno</t>
  </si>
  <si>
    <t>von - du - dal</t>
  </si>
  <si>
    <t>bis - au - al</t>
  </si>
  <si>
    <t>H</t>
  </si>
  <si>
    <t>Nur ganze Frankenbeträge
Que des montants entiers
Unicamente importi interi</t>
  </si>
  <si>
    <t>Lohn</t>
  </si>
  <si>
    <t>soweit nicht unter Ziffer 2-7 aufzuführen</t>
  </si>
  <si>
    <t>/Rente</t>
  </si>
  <si>
    <t>Salaire</t>
  </si>
  <si>
    <t>qui ne concerne pas les chiffres 2 à 7 ci-dessous</t>
  </si>
  <si>
    <t>Salario</t>
  </si>
  <si>
    <t>se non da indicare sotto cifre da 2 a 7 più sotto</t>
  </si>
  <si>
    <t>/Rendita</t>
  </si>
  <si>
    <t>Gehaltsnebenleistungen</t>
  </si>
  <si>
    <r>
      <rPr>
        <b/>
        <sz val="8"/>
        <rFont val="Arial Narrow"/>
        <family val="2"/>
      </rPr>
      <t xml:space="preserve">2.1 </t>
    </r>
    <r>
      <rPr>
        <sz val="8"/>
        <rFont val="Arial Narrow"/>
        <family val="2"/>
      </rPr>
      <t>Verpflegung, Unterkunft - Pension, logement - Vitto, alloggio</t>
    </r>
  </si>
  <si>
    <t>+</t>
  </si>
  <si>
    <t>Prestations salariales accessoirs</t>
  </si>
  <si>
    <r>
      <rPr>
        <b/>
        <sz val="8"/>
        <rFont val="Arial Narrow"/>
        <family val="2"/>
      </rPr>
      <t>2.2</t>
    </r>
    <r>
      <rPr>
        <sz val="8"/>
        <rFont val="Arial Narrow"/>
        <family val="2"/>
      </rPr>
      <t xml:space="preserve"> Privatanteil Geschäftswagen - Part privée voiture de service - Quota privata automobile di servizio</t>
    </r>
  </si>
  <si>
    <t>Prestazioni accessorie al salario</t>
  </si>
  <si>
    <r>
      <rPr>
        <b/>
        <sz val="8"/>
        <rFont val="Arial Narrow"/>
        <family val="2"/>
      </rPr>
      <t>2.3</t>
    </r>
    <r>
      <rPr>
        <sz val="8"/>
        <rFont val="Arial Narrow"/>
        <family val="2"/>
      </rPr>
      <t xml:space="preserve"> Andere - Autres - Altre</t>
    </r>
  </si>
  <si>
    <t>Art -Genre - Genere</t>
  </si>
  <si>
    <t>Unregelmässige Leistungen - Prestations non périodiques - Prestazioni aperiodiche</t>
  </si>
  <si>
    <t xml:space="preserve"> Kapitalleistungen - Prestations en capital - Prestazioni in capitale</t>
  </si>
  <si>
    <t>Beteiligungsrechte gemäss Beiblatt - Droits de participation selon annexe - Dritti di partecipazione secondo allegato</t>
  </si>
  <si>
    <t>Verwaltungsratsentschädigungen - Indemnités des membres de l'administration - Indennità dei membri di consigli d'administrazione</t>
  </si>
  <si>
    <t>Andere Leistungen - Autres prestations - Altre prestazioni</t>
  </si>
  <si>
    <t>Bruttolohn total/Rente - Salaire brut total/Rente - Salario lordo totale/Rendita</t>
  </si>
  <si>
    <t>=</t>
  </si>
  <si>
    <t>Beiträge AHV/IV/EO/ALV/NBUV - Cotisations AVS/AI/APG/AC/AANP - Contributi AVS/AI/IPG/AD/AINP</t>
  </si>
  <si>
    <t>Berufliche Vorsorge</t>
  </si>
  <si>
    <t>2.Säule</t>
  </si>
  <si>
    <r>
      <rPr>
        <b/>
        <sz val="8"/>
        <rFont val="Arial Narrow"/>
        <family val="2"/>
      </rPr>
      <t xml:space="preserve">10.1 </t>
    </r>
    <r>
      <rPr>
        <sz val="8"/>
        <rFont val="Arial Narrow"/>
        <family val="2"/>
      </rPr>
      <t>Ordentliche Beiträge - Cotisations ordinaire - Contributi ordinari</t>
    </r>
  </si>
  <si>
    <t>Prévoyance professionnelle</t>
  </si>
  <si>
    <r>
      <t>2</t>
    </r>
    <r>
      <rPr>
        <vertAlign val="superscript"/>
        <sz val="8"/>
        <rFont val="Arial Narrow"/>
        <family val="2"/>
      </rPr>
      <t xml:space="preserve">e </t>
    </r>
    <r>
      <rPr>
        <sz val="8"/>
        <rFont val="Arial Narrow"/>
        <family val="2"/>
      </rPr>
      <t>pilier</t>
    </r>
  </si>
  <si>
    <t>Previdenza professionale</t>
  </si>
  <si>
    <r>
      <t>2</t>
    </r>
    <r>
      <rPr>
        <vertAlign val="superscript"/>
        <sz val="8"/>
        <rFont val="Arial Narrow"/>
        <family val="2"/>
      </rPr>
      <t>o</t>
    </r>
    <r>
      <rPr>
        <sz val="8"/>
        <rFont val="Arial Narrow"/>
        <family val="2"/>
      </rPr>
      <t xml:space="preserve"> pilastro</t>
    </r>
  </si>
  <si>
    <r>
      <rPr>
        <b/>
        <sz val="8"/>
        <rFont val="Arial Narrow"/>
        <family val="2"/>
      </rPr>
      <t>10.2</t>
    </r>
    <r>
      <rPr>
        <sz val="8"/>
        <rFont val="Arial Narrow"/>
        <family val="2"/>
      </rPr>
      <t xml:space="preserve"> Beiträge für den Einkauf - Cotisations pour le rachat - Contributi per il riscatto</t>
    </r>
  </si>
  <si>
    <t>Nettolohn/Rente - Salaire net/Rente - Salario netto/Rendita</t>
  </si>
  <si>
    <t>In die Steuererklärung übertragen - A reporter sur la déclaration d'impôt - Da riportare nella dichiarazione d'imposta</t>
  </si>
  <si>
    <t xml:space="preserve"> Quellensteuerabzug - Retenue de l'impôt à la source - Ritenuta d'imposta alla fonte</t>
  </si>
  <si>
    <t xml:space="preserve"> Spesenvergütungen - Allocations pour frais - Indennità per spese</t>
  </si>
  <si>
    <t>Nicht im Bruttolohn (gemäss Ziffer 8) enthalten - Non comprises dans le salaire brut (au chiffre 8) - Non comprese nel salario lordo (sotto cifra 8)</t>
  </si>
  <si>
    <t>Effektive Spesen
Frais effectifs
Spese effettive</t>
  </si>
  <si>
    <t>13.1.1</t>
  </si>
  <si>
    <t>Reise, Verpflegung, Übernachtung - Voyage, repas, nuitées - Viaggio, vitto, alloggio</t>
  </si>
  <si>
    <t>13.1.2</t>
  </si>
  <si>
    <t>Übrige - Autres - Altre</t>
  </si>
  <si>
    <t>Pauschalspesen</t>
  </si>
  <si>
    <t>13.2.1</t>
  </si>
  <si>
    <t>Repräsentation - Représentation - Rappresentanza</t>
  </si>
  <si>
    <t>Frais forfaitaires</t>
  </si>
  <si>
    <t>13.2.2</t>
  </si>
  <si>
    <t>Auto - Voiture - Automobile</t>
  </si>
  <si>
    <t>Spese forfettarie</t>
  </si>
  <si>
    <t>13.2.3</t>
  </si>
  <si>
    <t>Beiträge an die Weiterbildung - Contributions au perfectionnement - Contributi per il perfezionamento</t>
  </si>
  <si>
    <t>Weitere Gehaltsnebenleistungen</t>
  </si>
  <si>
    <t>Art</t>
  </si>
  <si>
    <t>Autres prestations salariales accessoires</t>
  </si>
  <si>
    <t>Genre</t>
  </si>
  <si>
    <t>Altre prestazioni accessorie al salario</t>
  </si>
  <si>
    <t>Genere</t>
  </si>
  <si>
    <t>Bemerkungen</t>
  </si>
  <si>
    <t>Observations</t>
  </si>
  <si>
    <t>Osservazioni</t>
  </si>
  <si>
    <t>I</t>
  </si>
  <si>
    <t xml:space="preserve"> Ort und Datum - Lieu et date - Luogo e data</t>
  </si>
  <si>
    <t>Die Richtigkeit und Vollständigkeit bestätigt</t>
  </si>
  <si>
    <t>inkl. genauer Anschrift und Telefonnummer des Arbeitgebers</t>
  </si>
  <si>
    <t>Certifié exact et complet</t>
  </si>
  <si>
    <t>y.c. adresse et numéro de téléphone exacts de l'employeur</t>
  </si>
  <si>
    <t>Certificato esatto e completo</t>
  </si>
  <si>
    <t>compresi indirizzo e numero di telefono esatti del datore di lavoro</t>
  </si>
  <si>
    <t>Entrez le numéro de téléphone ici</t>
  </si>
  <si>
    <t>2.1 Verpflegung, Unterkunft - Pension, logement - Vitto, alloggio</t>
  </si>
  <si>
    <t>2.2 Privatanteil Geschäftswagen - Part privée voiture de service - Quota privata automobile di servizio</t>
  </si>
  <si>
    <t>2.3 Andere - Autres - Altre</t>
  </si>
  <si>
    <t>10.1 Ordentliche Beiträge - Cotisations ordinaire - Contributi ordinari</t>
  </si>
  <si>
    <t>2e pilier</t>
  </si>
  <si>
    <t>2o pilastro</t>
  </si>
  <si>
    <t>10.2 Beiträge für den Einkauf - Cotisations pour le rachat - Contributi per il riscatto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</si>
</sst>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1" formatCode="_ * #,##0_ ;_ * \-#,##0_ ;_ * &quot;-&quot;_ ;_ @_ "/>
    <numFmt numFmtId="164" formatCode="0.000%"/>
    <numFmt numFmtId="165" formatCode="0.0%"/>
    <numFmt numFmtId="166" formatCode="mmmm"/>
    <numFmt numFmtId="167" formatCode="dd/mm/"/>
    <numFmt numFmtId="168" formatCode="&quot;Rekapitulation&quot;\ yyyy"/>
    <numFmt numFmtId="169" formatCode="yyyy"/>
    <numFmt numFmtId="170" formatCode="&quot;CHF&quot;\ 0.00"/>
    <numFmt numFmtId="171" formatCode="0.00\ &quot;h&quot;"/>
    <numFmt numFmtId="172" formatCode="&quot;Lohnblatt&quot;\ yyyy"/>
    <numFmt numFmtId="173" formatCode="&quot;Lohnprogramm&quot;\ yyyy"/>
    <numFmt numFmtId="174" formatCode="0.000000000"/>
    <numFmt numFmtId="175" formatCode="#,##0.0000;[Red]\-#,##0.0000"/>
    <numFmt numFmtId="176" formatCode="#,##0.00_ ;[Red]\-#,##0.00\ "/>
    <numFmt numFmtId="177" formatCode="0.0"/>
    <numFmt numFmtId="178" formatCode="0.0000"/>
    <numFmt numFmtId="179" formatCode="0.00\ &quot;h/Wo&quot;"/>
    <numFmt numFmtId="180" formatCode="&quot;CHF&quot;\ * #,##0.00;[Red]\-#,##0.00"/>
    <numFmt numFmtId="181" formatCode="&quot;Période de décompte &quot;yyyy"/>
    <numFmt numFmtId="182" formatCode="0.00\ &quot;h/sem.&quot;"/>
  </numFmts>
  <fonts count="41" x14ac:knownFonts="1">
    <font>
      <sz val="10"/>
      <name val="MS Sans Serif"/>
    </font>
    <font>
      <sz val="10"/>
      <name val="MS Sans Serif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u/>
      <sz val="10"/>
      <color theme="10"/>
      <name val="MS Sans Serif"/>
    </font>
    <font>
      <b/>
      <sz val="18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9"/>
      <color rgb="FF000000"/>
      <name val="Arial"/>
      <family val="2"/>
    </font>
    <font>
      <b/>
      <i/>
      <sz val="9"/>
      <color rgb="FFFF0000"/>
      <name val="Arial"/>
      <family val="2"/>
    </font>
    <font>
      <b/>
      <sz val="9"/>
      <color rgb="FF000000"/>
      <name val="Arial"/>
      <family val="2"/>
    </font>
    <font>
      <b/>
      <sz val="9"/>
      <color rgb="FFFF0000"/>
      <name val="Arial"/>
      <family val="2"/>
    </font>
    <font>
      <sz val="7.5"/>
      <name val="Arial"/>
      <family val="2"/>
    </font>
    <font>
      <b/>
      <sz val="7.5"/>
      <name val="Arial"/>
      <family val="2"/>
    </font>
    <font>
      <b/>
      <u/>
      <sz val="9"/>
      <name val="Arial"/>
      <family val="2"/>
    </font>
    <font>
      <b/>
      <u/>
      <sz val="14"/>
      <color rgb="FFFF0000"/>
      <name val="Arial"/>
      <family val="2"/>
    </font>
    <font>
      <sz val="8"/>
      <name val="Arial Narrow"/>
      <family val="2"/>
    </font>
    <font>
      <sz val="10"/>
      <name val="Arial Narrow"/>
      <family val="2"/>
    </font>
    <font>
      <b/>
      <sz val="8"/>
      <name val="Arial Narrow"/>
      <family val="2"/>
    </font>
    <font>
      <sz val="6"/>
      <name val="Arial Narrow"/>
      <family val="2"/>
    </font>
    <font>
      <b/>
      <sz val="6"/>
      <name val="Arial Narrow"/>
      <family val="2"/>
    </font>
    <font>
      <b/>
      <sz val="10"/>
      <name val="Arial Narrow"/>
      <family val="2"/>
    </font>
    <font>
      <vertAlign val="superscript"/>
      <sz val="8"/>
      <name val="Arial Narrow"/>
      <family val="2"/>
    </font>
    <font>
      <b/>
      <sz val="11"/>
      <name val="Arial Black"/>
      <family val="2"/>
    </font>
    <font>
      <b/>
      <sz val="12"/>
      <name val="Arial"/>
      <family val="2"/>
    </font>
    <font>
      <b/>
      <i/>
      <sz val="10"/>
      <color rgb="FFFF0000"/>
      <name val="Arial"/>
      <family val="2"/>
    </font>
    <font>
      <i/>
      <sz val="10"/>
      <name val="Arial"/>
      <family val="2"/>
    </font>
    <font>
      <sz val="10"/>
      <color theme="10"/>
      <name val="Arial"/>
      <family val="2"/>
    </font>
    <font>
      <sz val="10"/>
      <name val="Aptos"/>
      <family val="2"/>
    </font>
    <font>
      <b/>
      <sz val="10"/>
      <name val="Aptos"/>
      <family val="2"/>
    </font>
    <font>
      <b/>
      <sz val="8"/>
      <name val="Arial"/>
      <family val="2"/>
    </font>
    <font>
      <sz val="8"/>
      <name val="MS Sans Serif"/>
    </font>
    <font>
      <sz val="7"/>
      <name val="Arial"/>
      <family val="2"/>
    </font>
    <font>
      <b/>
      <sz val="15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BD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</fills>
  <borders count="9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 applyFill="0" applyBorder="0" applyAlignment="0" applyProtection="0">
      <alignment horizontal="left"/>
    </xf>
  </cellStyleXfs>
  <cellXfs count="566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1" xfId="0" applyFont="1" applyBorder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14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14" fontId="4" fillId="0" borderId="0" xfId="1" applyNumberFormat="1" applyFont="1" applyBorder="1" applyAlignment="1">
      <alignment horizontal="left"/>
    </xf>
    <xf numFmtId="40" fontId="4" fillId="0" borderId="0" xfId="1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14" fontId="4" fillId="0" borderId="13" xfId="1" applyNumberFormat="1" applyFont="1" applyBorder="1" applyAlignment="1">
      <alignment horizontal="left"/>
    </xf>
    <xf numFmtId="167" fontId="4" fillId="0" borderId="4" xfId="1" applyNumberFormat="1" applyFont="1" applyBorder="1" applyAlignment="1">
      <alignment horizontal="center"/>
    </xf>
    <xf numFmtId="0" fontId="4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6" fillId="0" borderId="17" xfId="0" applyFont="1" applyBorder="1" applyAlignment="1">
      <alignment horizontal="center" vertical="center"/>
    </xf>
    <xf numFmtId="39" fontId="6" fillId="0" borderId="17" xfId="0" applyNumberFormat="1" applyFont="1" applyBorder="1" applyAlignment="1">
      <alignment horizontal="right" vertical="center"/>
    </xf>
    <xf numFmtId="39" fontId="6" fillId="0" borderId="16" xfId="0" applyNumberFormat="1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168" fontId="7" fillId="0" borderId="0" xfId="0" applyNumberFormat="1" applyFont="1"/>
    <xf numFmtId="0" fontId="2" fillId="0" borderId="17" xfId="0" applyFont="1" applyBorder="1"/>
    <xf numFmtId="0" fontId="4" fillId="0" borderId="18" xfId="0" applyFont="1" applyBorder="1"/>
    <xf numFmtId="0" fontId="4" fillId="0" borderId="17" xfId="0" applyFont="1" applyBorder="1"/>
    <xf numFmtId="0" fontId="4" fillId="0" borderId="11" xfId="0" quotePrefix="1" applyFont="1" applyBorder="1"/>
    <xf numFmtId="0" fontId="4" fillId="0" borderId="20" xfId="0" quotePrefix="1" applyFont="1" applyBorder="1"/>
    <xf numFmtId="0" fontId="4" fillId="0" borderId="1" xfId="0" applyFont="1" applyBorder="1"/>
    <xf numFmtId="0" fontId="6" fillId="0" borderId="11" xfId="0" applyFont="1" applyBorder="1"/>
    <xf numFmtId="0" fontId="4" fillId="0" borderId="0" xfId="0" applyFont="1" applyAlignment="1">
      <alignment wrapText="1"/>
    </xf>
    <xf numFmtId="168" fontId="9" fillId="0" borderId="0" xfId="0" applyNumberFormat="1" applyFont="1"/>
    <xf numFmtId="0" fontId="4" fillId="0" borderId="18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20" xfId="0" applyFont="1" applyBorder="1" applyAlignment="1">
      <alignment horizontal="left"/>
    </xf>
    <xf numFmtId="40" fontId="4" fillId="0" borderId="9" xfId="1" applyFont="1" applyBorder="1" applyAlignment="1">
      <alignment horizontal="left"/>
    </xf>
    <xf numFmtId="0" fontId="7" fillId="3" borderId="0" xfId="0" applyFont="1" applyFill="1"/>
    <xf numFmtId="0" fontId="2" fillId="3" borderId="0" xfId="0" applyFont="1" applyFill="1"/>
    <xf numFmtId="0" fontId="12" fillId="4" borderId="25" xfId="0" applyFont="1" applyFill="1" applyBorder="1"/>
    <xf numFmtId="0" fontId="12" fillId="4" borderId="26" xfId="0" applyFont="1" applyFill="1" applyBorder="1"/>
    <xf numFmtId="0" fontId="2" fillId="4" borderId="26" xfId="0" quotePrefix="1" applyFont="1" applyFill="1" applyBorder="1"/>
    <xf numFmtId="0" fontId="12" fillId="4" borderId="26" xfId="0" quotePrefix="1" applyFont="1" applyFill="1" applyBorder="1"/>
    <xf numFmtId="0" fontId="13" fillId="4" borderId="26" xfId="0" applyFont="1" applyFill="1" applyBorder="1"/>
    <xf numFmtId="10" fontId="4" fillId="0" borderId="0" xfId="2" applyNumberFormat="1" applyFont="1" applyFill="1"/>
    <xf numFmtId="40" fontId="6" fillId="0" borderId="0" xfId="1" applyFont="1" applyFill="1"/>
    <xf numFmtId="0" fontId="4" fillId="0" borderId="1" xfId="0" applyFont="1" applyBorder="1" applyAlignment="1">
      <alignment horizontal="right"/>
    </xf>
    <xf numFmtId="172" fontId="7" fillId="3" borderId="0" xfId="0" applyNumberFormat="1" applyFont="1" applyFill="1" applyAlignment="1">
      <alignment horizontal="right"/>
    </xf>
    <xf numFmtId="0" fontId="4" fillId="3" borderId="0" xfId="0" applyFont="1" applyFill="1"/>
    <xf numFmtId="0" fontId="4" fillId="0" borderId="41" xfId="0" applyFont="1" applyBorder="1"/>
    <xf numFmtId="39" fontId="4" fillId="0" borderId="41" xfId="0" applyNumberFormat="1" applyFont="1" applyBorder="1" applyAlignment="1">
      <alignment horizontal="right"/>
    </xf>
    <xf numFmtId="165" fontId="4" fillId="0" borderId="41" xfId="0" applyNumberFormat="1" applyFont="1" applyBorder="1" applyAlignment="1">
      <alignment horizontal="right"/>
    </xf>
    <xf numFmtId="4" fontId="4" fillId="0" borderId="41" xfId="0" applyNumberFormat="1" applyFont="1" applyBorder="1" applyAlignment="1">
      <alignment horizontal="right"/>
    </xf>
    <xf numFmtId="39" fontId="4" fillId="0" borderId="0" xfId="0" applyNumberFormat="1" applyFont="1" applyAlignment="1">
      <alignment horizontal="right"/>
    </xf>
    <xf numFmtId="40" fontId="4" fillId="0" borderId="0" xfId="1" applyFont="1" applyFill="1" applyProtection="1"/>
    <xf numFmtId="40" fontId="4" fillId="0" borderId="0" xfId="1" applyFont="1" applyProtection="1"/>
    <xf numFmtId="39" fontId="6" fillId="3" borderId="6" xfId="0" applyNumberFormat="1" applyFont="1" applyFill="1" applyBorder="1" applyAlignment="1">
      <alignment horizontal="right"/>
    </xf>
    <xf numFmtId="39" fontId="6" fillId="3" borderId="31" xfId="0" applyNumberFormat="1" applyFont="1" applyFill="1" applyBorder="1" applyAlignment="1">
      <alignment horizontal="right"/>
    </xf>
    <xf numFmtId="39" fontId="6" fillId="0" borderId="0" xfId="0" applyNumberFormat="1" applyFont="1" applyAlignment="1">
      <alignment horizontal="right"/>
    </xf>
    <xf numFmtId="40" fontId="6" fillId="0" borderId="0" xfId="1" applyFont="1" applyFill="1" applyProtection="1"/>
    <xf numFmtId="40" fontId="6" fillId="0" borderId="0" xfId="1" applyFont="1" applyProtection="1"/>
    <xf numFmtId="40" fontId="4" fillId="0" borderId="0" xfId="1" applyFont="1" applyFill="1" applyBorder="1" applyAlignment="1" applyProtection="1">
      <alignment horizontal="right"/>
    </xf>
    <xf numFmtId="165" fontId="4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0" fontId="2" fillId="0" borderId="0" xfId="1" applyFont="1" applyProtection="1"/>
    <xf numFmtId="166" fontId="6" fillId="0" borderId="30" xfId="0" applyNumberFormat="1" applyFont="1" applyBorder="1" applyAlignment="1">
      <alignment horizontal="center"/>
    </xf>
    <xf numFmtId="39" fontId="6" fillId="0" borderId="31" xfId="0" applyNumberFormat="1" applyFont="1" applyBorder="1" applyAlignment="1">
      <alignment horizontal="right"/>
    </xf>
    <xf numFmtId="0" fontId="15" fillId="0" borderId="43" xfId="0" applyFont="1" applyBorder="1" applyAlignment="1">
      <alignment horizontal="left"/>
    </xf>
    <xf numFmtId="39" fontId="6" fillId="0" borderId="46" xfId="0" applyNumberFormat="1" applyFont="1" applyBorder="1" applyAlignment="1">
      <alignment horizontal="right"/>
    </xf>
    <xf numFmtId="39" fontId="6" fillId="0" borderId="47" xfId="0" applyNumberFormat="1" applyFont="1" applyBorder="1" applyAlignment="1">
      <alignment horizontal="right"/>
    </xf>
    <xf numFmtId="40" fontId="4" fillId="0" borderId="41" xfId="1" applyFont="1" applyFill="1" applyBorder="1" applyAlignment="1" applyProtection="1">
      <alignment horizontal="right"/>
    </xf>
    <xf numFmtId="9" fontId="4" fillId="0" borderId="0" xfId="2" applyFont="1" applyAlignment="1" applyProtection="1">
      <alignment horizontal="left"/>
    </xf>
    <xf numFmtId="166" fontId="6" fillId="0" borderId="0" xfId="0" applyNumberFormat="1" applyFont="1" applyAlignment="1">
      <alignment horizontal="center"/>
    </xf>
    <xf numFmtId="166" fontId="6" fillId="0" borderId="0" xfId="1" applyNumberFormat="1" applyFont="1" applyFill="1" applyAlignment="1" applyProtection="1">
      <alignment horizontal="center"/>
    </xf>
    <xf numFmtId="40" fontId="4" fillId="0" borderId="0" xfId="1" quotePrefix="1" applyFont="1" applyFill="1" applyBorder="1" applyAlignment="1" applyProtection="1">
      <alignment horizontal="right"/>
    </xf>
    <xf numFmtId="40" fontId="6" fillId="0" borderId="0" xfId="1" applyFont="1" applyFill="1" applyBorder="1" applyAlignment="1" applyProtection="1">
      <alignment horizontal="right"/>
    </xf>
    <xf numFmtId="171" fontId="4" fillId="0" borderId="0" xfId="0" applyNumberFormat="1" applyFont="1"/>
    <xf numFmtId="170" fontId="4" fillId="0" borderId="0" xfId="0" applyNumberFormat="1" applyFont="1"/>
    <xf numFmtId="166" fontId="6" fillId="0" borderId="29" xfId="0" applyNumberFormat="1" applyFont="1" applyBorder="1" applyAlignment="1">
      <alignment horizontal="center"/>
    </xf>
    <xf numFmtId="39" fontId="6" fillId="0" borderId="40" xfId="0" applyNumberFormat="1" applyFont="1" applyBorder="1" applyAlignment="1">
      <alignment horizontal="right"/>
    </xf>
    <xf numFmtId="39" fontId="6" fillId="3" borderId="48" xfId="0" applyNumberFormat="1" applyFont="1" applyFill="1" applyBorder="1" applyAlignment="1">
      <alignment horizontal="right"/>
    </xf>
    <xf numFmtId="166" fontId="6" fillId="3" borderId="29" xfId="1" applyNumberFormat="1" applyFont="1" applyFill="1" applyBorder="1" applyAlignment="1" applyProtection="1">
      <alignment horizontal="center"/>
    </xf>
    <xf numFmtId="166" fontId="6" fillId="3" borderId="29" xfId="0" applyNumberFormat="1" applyFont="1" applyFill="1" applyBorder="1" applyAlignment="1">
      <alignment horizontal="center"/>
    </xf>
    <xf numFmtId="166" fontId="6" fillId="3" borderId="30" xfId="0" applyNumberFormat="1" applyFont="1" applyFill="1" applyBorder="1" applyAlignment="1">
      <alignment horizontal="center"/>
    </xf>
    <xf numFmtId="166" fontId="6" fillId="3" borderId="38" xfId="1" applyNumberFormat="1" applyFont="1" applyFill="1" applyBorder="1" applyAlignment="1" applyProtection="1">
      <alignment horizontal="center"/>
    </xf>
    <xf numFmtId="0" fontId="11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39" fontId="4" fillId="0" borderId="50" xfId="0" applyNumberFormat="1" applyFont="1" applyBorder="1" applyAlignment="1">
      <alignment horizontal="right"/>
    </xf>
    <xf numFmtId="39" fontId="4" fillId="0" borderId="49" xfId="0" applyNumberFormat="1" applyFont="1" applyBorder="1" applyAlignment="1">
      <alignment horizontal="right"/>
    </xf>
    <xf numFmtId="167" fontId="4" fillId="0" borderId="51" xfId="1" applyNumberFormat="1" applyFont="1" applyBorder="1" applyAlignment="1">
      <alignment horizontal="center"/>
    </xf>
    <xf numFmtId="39" fontId="6" fillId="0" borderId="52" xfId="0" applyNumberFormat="1" applyFont="1" applyBorder="1" applyAlignment="1">
      <alignment horizontal="right" vertical="center"/>
    </xf>
    <xf numFmtId="166" fontId="6" fillId="0" borderId="54" xfId="0" applyNumberFormat="1" applyFont="1" applyBorder="1" applyAlignment="1">
      <alignment horizontal="center"/>
    </xf>
    <xf numFmtId="40" fontId="4" fillId="0" borderId="0" xfId="1" applyFont="1" applyAlignment="1" applyProtection="1">
      <alignment horizontal="right"/>
    </xf>
    <xf numFmtId="40" fontId="4" fillId="0" borderId="0" xfId="1" applyFont="1" applyFill="1" applyAlignment="1" applyProtection="1">
      <alignment horizontal="right"/>
    </xf>
    <xf numFmtId="166" fontId="4" fillId="0" borderId="0" xfId="1" applyNumberFormat="1" applyFont="1" applyFill="1" applyAlignment="1" applyProtection="1">
      <alignment horizontal="left"/>
    </xf>
    <xf numFmtId="2" fontId="2" fillId="0" borderId="0" xfId="0" applyNumberFormat="1" applyFont="1" applyAlignment="1">
      <alignment wrapText="1"/>
    </xf>
    <xf numFmtId="2" fontId="3" fillId="0" borderId="0" xfId="0" applyNumberFormat="1" applyFont="1" applyAlignment="1">
      <alignment wrapText="1"/>
    </xf>
    <xf numFmtId="2" fontId="2" fillId="0" borderId="0" xfId="0" applyNumberFormat="1" applyFont="1" applyAlignment="1">
      <alignment horizontal="right"/>
    </xf>
    <xf numFmtId="40" fontId="6" fillId="0" borderId="0" xfId="1" applyFont="1"/>
    <xf numFmtId="2" fontId="2" fillId="0" borderId="0" xfId="0" applyNumberFormat="1" applyFont="1" applyAlignment="1">
      <alignment vertical="top" wrapText="1"/>
    </xf>
    <xf numFmtId="38" fontId="4" fillId="0" borderId="0" xfId="1" applyNumberFormat="1" applyFont="1" applyFill="1"/>
    <xf numFmtId="38" fontId="4" fillId="0" borderId="0" xfId="1" applyNumberFormat="1" applyFont="1" applyFill="1" applyAlignment="1">
      <alignment vertical="top"/>
    </xf>
    <xf numFmtId="38" fontId="4" fillId="0" borderId="0" xfId="1" applyNumberFormat="1" applyFont="1"/>
    <xf numFmtId="38" fontId="4" fillId="0" borderId="0" xfId="1" applyNumberFormat="1" applyFont="1" applyProtection="1"/>
    <xf numFmtId="166" fontId="6" fillId="0" borderId="0" xfId="0" applyNumberFormat="1" applyFont="1"/>
    <xf numFmtId="169" fontId="6" fillId="0" borderId="0" xfId="0" applyNumberFormat="1" applyFont="1" applyAlignment="1">
      <alignment horizontal="left"/>
    </xf>
    <xf numFmtId="39" fontId="6" fillId="0" borderId="0" xfId="0" applyNumberFormat="1" applyFont="1" applyAlignment="1">
      <alignment horizontal="right" vertical="center"/>
    </xf>
    <xf numFmtId="0" fontId="19" fillId="0" borderId="18" xfId="0" applyFont="1" applyBorder="1" applyAlignment="1">
      <alignment horizontal="left" vertical="center"/>
    </xf>
    <xf numFmtId="0" fontId="19" fillId="0" borderId="8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left" vertical="center"/>
    </xf>
    <xf numFmtId="0" fontId="19" fillId="0" borderId="9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19" fillId="0" borderId="22" xfId="0" applyFont="1" applyBorder="1" applyAlignment="1">
      <alignment horizontal="left" vertical="center"/>
    </xf>
    <xf numFmtId="0" fontId="19" fillId="0" borderId="4" xfId="0" applyFont="1" applyBorder="1" applyAlignment="1">
      <alignment horizontal="left" vertical="center"/>
    </xf>
    <xf numFmtId="39" fontId="4" fillId="0" borderId="13" xfId="0" applyNumberFormat="1" applyFont="1" applyBorder="1" applyAlignment="1">
      <alignment horizontal="right"/>
    </xf>
    <xf numFmtId="39" fontId="4" fillId="0" borderId="4" xfId="0" applyNumberFormat="1" applyFont="1" applyBorder="1" applyAlignment="1">
      <alignment horizontal="right"/>
    </xf>
    <xf numFmtId="39" fontId="4" fillId="0" borderId="51" xfId="0" applyNumberFormat="1" applyFont="1" applyBorder="1" applyAlignment="1">
      <alignment horizontal="right"/>
    </xf>
    <xf numFmtId="39" fontId="4" fillId="0" borderId="21" xfId="0" applyNumberFormat="1" applyFont="1" applyBorder="1" applyAlignment="1">
      <alignment horizontal="right"/>
    </xf>
    <xf numFmtId="39" fontId="4" fillId="0" borderId="15" xfId="0" applyNumberFormat="1" applyFont="1" applyBorder="1" applyAlignment="1">
      <alignment horizontal="right"/>
    </xf>
    <xf numFmtId="39" fontId="4" fillId="0" borderId="5" xfId="0" applyNumberFormat="1" applyFont="1" applyBorder="1" applyAlignment="1">
      <alignment horizontal="right"/>
    </xf>
    <xf numFmtId="39" fontId="4" fillId="0" borderId="56" xfId="0" applyNumberFormat="1" applyFont="1" applyBorder="1" applyAlignment="1">
      <alignment horizontal="right"/>
    </xf>
    <xf numFmtId="0" fontId="19" fillId="0" borderId="3" xfId="0" applyFont="1" applyBorder="1" applyAlignment="1">
      <alignment horizontal="left" vertical="center"/>
    </xf>
    <xf numFmtId="14" fontId="4" fillId="0" borderId="3" xfId="1" applyNumberFormat="1" applyFont="1" applyBorder="1" applyAlignment="1">
      <alignment horizontal="left"/>
    </xf>
    <xf numFmtId="40" fontId="4" fillId="0" borderId="4" xfId="1" applyFont="1" applyBorder="1" applyAlignment="1">
      <alignment horizontal="left"/>
    </xf>
    <xf numFmtId="0" fontId="19" fillId="0" borderId="7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57" xfId="0" applyFont="1" applyBorder="1" applyAlignment="1">
      <alignment horizontal="left" vertical="center"/>
    </xf>
    <xf numFmtId="40" fontId="4" fillId="0" borderId="51" xfId="1" applyFont="1" applyBorder="1" applyAlignment="1">
      <alignment horizontal="left"/>
    </xf>
    <xf numFmtId="40" fontId="4" fillId="0" borderId="1" xfId="1" applyFont="1" applyBorder="1" applyAlignment="1">
      <alignment horizontal="left"/>
    </xf>
    <xf numFmtId="0" fontId="19" fillId="0" borderId="12" xfId="0" applyFont="1" applyBorder="1" applyAlignment="1">
      <alignment horizontal="center" vertical="center"/>
    </xf>
    <xf numFmtId="167" fontId="4" fillId="0" borderId="13" xfId="1" applyNumberFormat="1" applyFont="1" applyBorder="1" applyAlignment="1">
      <alignment horizontal="center"/>
    </xf>
    <xf numFmtId="167" fontId="4" fillId="0" borderId="15" xfId="1" applyNumberFormat="1" applyFont="1" applyBorder="1" applyAlignment="1">
      <alignment horizontal="center"/>
    </xf>
    <xf numFmtId="40" fontId="4" fillId="0" borderId="12" xfId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39" fontId="6" fillId="0" borderId="59" xfId="0" applyNumberFormat="1" applyFont="1" applyBorder="1" applyAlignment="1">
      <alignment horizontal="right" vertical="center"/>
    </xf>
    <xf numFmtId="0" fontId="4" fillId="0" borderId="0" xfId="0" quotePrefix="1" applyFont="1"/>
    <xf numFmtId="0" fontId="21" fillId="0" borderId="11" xfId="0" applyFont="1" applyBorder="1"/>
    <xf numFmtId="0" fontId="19" fillId="0" borderId="18" xfId="0" applyFont="1" applyBorder="1"/>
    <xf numFmtId="0" fontId="19" fillId="0" borderId="11" xfId="0" applyFont="1" applyBorder="1"/>
    <xf numFmtId="0" fontId="2" fillId="0" borderId="19" xfId="0" applyFont="1" applyBorder="1"/>
    <xf numFmtId="0" fontId="19" fillId="0" borderId="20" xfId="0" applyFont="1" applyBorder="1"/>
    <xf numFmtId="0" fontId="2" fillId="0" borderId="60" xfId="0" applyFont="1" applyBorder="1"/>
    <xf numFmtId="0" fontId="2" fillId="0" borderId="58" xfId="0" applyFont="1" applyBorder="1"/>
    <xf numFmtId="0" fontId="4" fillId="0" borderId="1" xfId="0" applyFont="1" applyBorder="1" applyAlignment="1">
      <alignment horizontal="left" vertical="top" wrapText="1"/>
    </xf>
    <xf numFmtId="168" fontId="7" fillId="5" borderId="0" xfId="0" applyNumberFormat="1" applyFont="1" applyFill="1"/>
    <xf numFmtId="0" fontId="7" fillId="5" borderId="0" xfId="0" applyFont="1" applyFill="1" applyAlignment="1">
      <alignment horizontal="center"/>
    </xf>
    <xf numFmtId="167" fontId="4" fillId="0" borderId="0" xfId="1" applyNumberFormat="1" applyFont="1" applyBorder="1" applyAlignment="1">
      <alignment horizontal="center"/>
    </xf>
    <xf numFmtId="39" fontId="6" fillId="0" borderId="19" xfId="0" applyNumberFormat="1" applyFont="1" applyBorder="1" applyAlignment="1">
      <alignment horizontal="right" vertical="center"/>
    </xf>
    <xf numFmtId="0" fontId="4" fillId="0" borderId="24" xfId="0" applyFont="1" applyBorder="1" applyAlignment="1">
      <alignment horizontal="left"/>
    </xf>
    <xf numFmtId="39" fontId="4" fillId="0" borderId="60" xfId="0" applyNumberFormat="1" applyFont="1" applyBorder="1" applyAlignment="1">
      <alignment horizontal="right"/>
    </xf>
    <xf numFmtId="40" fontId="4" fillId="0" borderId="0" xfId="0" applyNumberFormat="1" applyFont="1"/>
    <xf numFmtId="10" fontId="4" fillId="0" borderId="0" xfId="2" applyNumberFormat="1" applyFont="1"/>
    <xf numFmtId="10" fontId="4" fillId="0" borderId="0" xfId="2" applyNumberFormat="1" applyFont="1" applyProtection="1"/>
    <xf numFmtId="0" fontId="10" fillId="5" borderId="0" xfId="0" applyFont="1" applyFill="1" applyAlignment="1">
      <alignment horizontal="left" wrapText="1"/>
    </xf>
    <xf numFmtId="0" fontId="4" fillId="0" borderId="0" xfId="0" applyFont="1" applyAlignment="1">
      <alignment horizontal="left" vertical="top" wrapText="1"/>
    </xf>
    <xf numFmtId="0" fontId="2" fillId="5" borderId="0" xfId="0" applyFont="1" applyFill="1"/>
    <xf numFmtId="0" fontId="2" fillId="0" borderId="16" xfId="0" applyFont="1" applyBorder="1"/>
    <xf numFmtId="0" fontId="3" fillId="0" borderId="0" xfId="0" applyFont="1"/>
    <xf numFmtId="167" fontId="4" fillId="0" borderId="4" xfId="0" applyNumberFormat="1" applyFont="1" applyBorder="1" applyAlignment="1">
      <alignment horizontal="center"/>
    </xf>
    <xf numFmtId="40" fontId="4" fillId="0" borderId="4" xfId="1" applyFont="1" applyBorder="1" applyAlignment="1">
      <alignment horizontal="right"/>
    </xf>
    <xf numFmtId="0" fontId="13" fillId="4" borderId="25" xfId="0" applyFont="1" applyFill="1" applyBorder="1"/>
    <xf numFmtId="0" fontId="14" fillId="4" borderId="26" xfId="3" applyFont="1" applyFill="1" applyBorder="1"/>
    <xf numFmtId="0" fontId="13" fillId="0" borderId="0" xfId="0" applyFont="1"/>
    <xf numFmtId="40" fontId="4" fillId="0" borderId="0" xfId="1" applyFont="1" applyFill="1"/>
    <xf numFmtId="0" fontId="2" fillId="4" borderId="26" xfId="0" quotePrefix="1" applyFont="1" applyFill="1" applyBorder="1" applyAlignment="1">
      <alignment horizontal="left" wrapText="1"/>
    </xf>
    <xf numFmtId="40" fontId="18" fillId="0" borderId="0" xfId="1" applyFont="1" applyFill="1" applyBorder="1" applyAlignment="1" applyProtection="1">
      <alignment horizontal="left"/>
    </xf>
    <xf numFmtId="0" fontId="4" fillId="0" borderId="7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18" fillId="0" borderId="0" xfId="0" applyFont="1" applyAlignment="1">
      <alignment vertical="center" wrapText="1"/>
    </xf>
    <xf numFmtId="0" fontId="18" fillId="0" borderId="0" xfId="0" applyFont="1"/>
    <xf numFmtId="0" fontId="4" fillId="0" borderId="3" xfId="0" applyFont="1" applyBorder="1" applyAlignment="1">
      <alignment horizontal="left"/>
    </xf>
    <xf numFmtId="0" fontId="4" fillId="0" borderId="8" xfId="0" applyFont="1" applyBorder="1" applyAlignment="1">
      <alignment horizontal="center"/>
    </xf>
    <xf numFmtId="0" fontId="2" fillId="0" borderId="21" xfId="0" applyFont="1" applyBorder="1"/>
    <xf numFmtId="0" fontId="4" fillId="0" borderId="0" xfId="0" applyFont="1" applyAlignment="1">
      <alignment horizontal="right"/>
    </xf>
    <xf numFmtId="0" fontId="6" fillId="0" borderId="61" xfId="0" applyFont="1" applyBorder="1" applyAlignment="1">
      <alignment horizontal="left"/>
    </xf>
    <xf numFmtId="0" fontId="4" fillId="0" borderId="57" xfId="0" applyFont="1" applyBorder="1" applyAlignment="1">
      <alignment horizontal="left"/>
    </xf>
    <xf numFmtId="167" fontId="4" fillId="0" borderId="57" xfId="1" applyNumberFormat="1" applyFont="1" applyBorder="1" applyAlignment="1">
      <alignment horizontal="center"/>
    </xf>
    <xf numFmtId="40" fontId="4" fillId="0" borderId="61" xfId="1" applyFont="1" applyBorder="1" applyAlignment="1">
      <alignment horizontal="left"/>
    </xf>
    <xf numFmtId="0" fontId="14" fillId="4" borderId="27" xfId="3" applyFont="1" applyFill="1" applyBorder="1" applyProtection="1"/>
    <xf numFmtId="0" fontId="2" fillId="0" borderId="11" xfId="0" applyFont="1" applyBorder="1"/>
    <xf numFmtId="0" fontId="2" fillId="0" borderId="11" xfId="0" applyFont="1" applyBorder="1" applyAlignment="1">
      <alignment vertical="top" wrapText="1"/>
    </xf>
    <xf numFmtId="175" fontId="4" fillId="0" borderId="0" xfId="1" applyNumberFormat="1" applyFont="1" applyProtection="1"/>
    <xf numFmtId="0" fontId="23" fillId="0" borderId="0" xfId="0" applyFont="1"/>
    <xf numFmtId="0" fontId="24" fillId="0" borderId="0" xfId="0" applyFont="1"/>
    <xf numFmtId="0" fontId="26" fillId="0" borderId="0" xfId="0" applyFont="1"/>
    <xf numFmtId="0" fontId="24" fillId="0" borderId="0" xfId="0" quotePrefix="1" applyFont="1"/>
    <xf numFmtId="0" fontId="23" fillId="0" borderId="0" xfId="0" quotePrefix="1" applyFont="1"/>
    <xf numFmtId="0" fontId="26" fillId="0" borderId="0" xfId="0" applyFont="1" applyAlignment="1">
      <alignment vertical="top"/>
    </xf>
    <xf numFmtId="0" fontId="25" fillId="0" borderId="0" xfId="0" applyFont="1"/>
    <xf numFmtId="0" fontId="27" fillId="0" borderId="0" xfId="0" applyFont="1"/>
    <xf numFmtId="14" fontId="25" fillId="0" borderId="0" xfId="0" quotePrefix="1" applyNumberFormat="1" applyFont="1"/>
    <xf numFmtId="0" fontId="25" fillId="0" borderId="0" xfId="0" quotePrefix="1" applyFont="1"/>
    <xf numFmtId="0" fontId="28" fillId="0" borderId="0" xfId="0" applyFont="1"/>
    <xf numFmtId="0" fontId="25" fillId="0" borderId="0" xfId="0" applyFont="1" applyAlignment="1">
      <alignment vertical="center"/>
    </xf>
    <xf numFmtId="0" fontId="23" fillId="0" borderId="1" xfId="0" applyFont="1" applyBorder="1"/>
    <xf numFmtId="0" fontId="23" fillId="0" borderId="1" xfId="0" quotePrefix="1" applyFont="1" applyBorder="1"/>
    <xf numFmtId="0" fontId="24" fillId="0" borderId="1" xfId="0" applyFont="1" applyBorder="1"/>
    <xf numFmtId="0" fontId="25" fillId="0" borderId="1" xfId="0" applyFont="1" applyBorder="1"/>
    <xf numFmtId="0" fontId="24" fillId="0" borderId="0" xfId="0" applyFont="1" applyAlignment="1">
      <alignment vertical="top"/>
    </xf>
    <xf numFmtId="0" fontId="23" fillId="0" borderId="17" xfId="0" applyFont="1" applyBorder="1"/>
    <xf numFmtId="0" fontId="23" fillId="0" borderId="17" xfId="0" quotePrefix="1" applyFont="1" applyBorder="1"/>
    <xf numFmtId="0" fontId="24" fillId="0" borderId="17" xfId="0" applyFont="1" applyBorder="1"/>
    <xf numFmtId="0" fontId="23" fillId="0" borderId="0" xfId="0" applyFont="1" applyAlignment="1">
      <alignment horizontal="left"/>
    </xf>
    <xf numFmtId="177" fontId="25" fillId="0" borderId="0" xfId="0" applyNumberFormat="1" applyFont="1" applyAlignment="1">
      <alignment horizontal="right"/>
    </xf>
    <xf numFmtId="0" fontId="25" fillId="0" borderId="0" xfId="0" applyFont="1" applyAlignment="1">
      <alignment horizontal="right"/>
    </xf>
    <xf numFmtId="0" fontId="24" fillId="0" borderId="0" xfId="0" applyFont="1" applyAlignment="1">
      <alignment horizontal="left"/>
    </xf>
    <xf numFmtId="0" fontId="26" fillId="0" borderId="0" xfId="0" applyFont="1" applyAlignment="1">
      <alignment wrapText="1"/>
    </xf>
    <xf numFmtId="0" fontId="30" fillId="0" borderId="0" xfId="0" applyFont="1"/>
    <xf numFmtId="3" fontId="2" fillId="0" borderId="0" xfId="1" applyNumberFormat="1" applyFont="1" applyFill="1"/>
    <xf numFmtId="3" fontId="2" fillId="0" borderId="0" xfId="1" applyNumberFormat="1" applyFont="1" applyFill="1" applyBorder="1"/>
    <xf numFmtId="3" fontId="2" fillId="0" borderId="0" xfId="1" applyNumberFormat="1" applyFont="1"/>
    <xf numFmtId="40" fontId="2" fillId="0" borderId="0" xfId="1" applyFont="1"/>
    <xf numFmtId="40" fontId="2" fillId="0" borderId="0" xfId="1" applyFont="1" applyFill="1"/>
    <xf numFmtId="40" fontId="2" fillId="0" borderId="0" xfId="1" applyFont="1" applyFill="1" applyBorder="1"/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/>
    </xf>
    <xf numFmtId="9" fontId="5" fillId="0" borderId="0" xfId="2" applyFont="1" applyFill="1" applyBorder="1" applyAlignment="1" applyProtection="1">
      <alignment horizontal="left"/>
      <protection locked="0"/>
    </xf>
    <xf numFmtId="40" fontId="4" fillId="0" borderId="0" xfId="1" applyFont="1" applyBorder="1" applyAlignment="1">
      <alignment horizontal="right"/>
    </xf>
    <xf numFmtId="166" fontId="6" fillId="6" borderId="29" xfId="0" applyNumberFormat="1" applyFont="1" applyFill="1" applyBorder="1" applyAlignment="1">
      <alignment horizontal="center"/>
    </xf>
    <xf numFmtId="166" fontId="6" fillId="6" borderId="30" xfId="0" applyNumberFormat="1" applyFont="1" applyFill="1" applyBorder="1" applyAlignment="1">
      <alignment horizontal="center"/>
    </xf>
    <xf numFmtId="39" fontId="6" fillId="6" borderId="31" xfId="0" applyNumberFormat="1" applyFont="1" applyFill="1" applyBorder="1" applyAlignment="1">
      <alignment horizontal="right"/>
    </xf>
    <xf numFmtId="39" fontId="6" fillId="3" borderId="30" xfId="0" applyNumberFormat="1" applyFont="1" applyFill="1" applyBorder="1" applyAlignment="1">
      <alignment horizontal="right"/>
    </xf>
    <xf numFmtId="39" fontId="6" fillId="6" borderId="30" xfId="0" applyNumberFormat="1" applyFont="1" applyFill="1" applyBorder="1" applyAlignment="1">
      <alignment horizontal="right"/>
    </xf>
    <xf numFmtId="39" fontId="6" fillId="6" borderId="33" xfId="0" applyNumberFormat="1" applyFont="1" applyFill="1" applyBorder="1" applyAlignment="1">
      <alignment horizontal="right"/>
    </xf>
    <xf numFmtId="40" fontId="4" fillId="0" borderId="0" xfId="1" applyFont="1" applyAlignment="1" applyProtection="1"/>
    <xf numFmtId="39" fontId="6" fillId="3" borderId="40" xfId="0" applyNumberFormat="1" applyFont="1" applyFill="1" applyBorder="1" applyAlignment="1">
      <alignment horizontal="right"/>
    </xf>
    <xf numFmtId="39" fontId="4" fillId="0" borderId="5" xfId="1" applyNumberFormat="1" applyFont="1" applyFill="1" applyBorder="1" applyAlignment="1" applyProtection="1">
      <alignment horizontal="right"/>
    </xf>
    <xf numFmtId="39" fontId="4" fillId="0" borderId="36" xfId="1" applyNumberFormat="1" applyFont="1" applyFill="1" applyBorder="1" applyAlignment="1" applyProtection="1">
      <alignment horizontal="right"/>
    </xf>
    <xf numFmtId="39" fontId="4" fillId="0" borderId="10" xfId="1" applyNumberFormat="1" applyFont="1" applyFill="1" applyBorder="1" applyAlignment="1" applyProtection="1">
      <alignment horizontal="right"/>
    </xf>
    <xf numFmtId="39" fontId="4" fillId="0" borderId="6" xfId="1" applyNumberFormat="1" applyFont="1" applyFill="1" applyBorder="1" applyAlignment="1" applyProtection="1">
      <alignment horizontal="right"/>
    </xf>
    <xf numFmtId="39" fontId="4" fillId="0" borderId="31" xfId="1" applyNumberFormat="1" applyFont="1" applyFill="1" applyBorder="1" applyAlignment="1" applyProtection="1">
      <alignment horizontal="right"/>
    </xf>
    <xf numFmtId="39" fontId="6" fillId="0" borderId="36" xfId="1" applyNumberFormat="1" applyFont="1" applyFill="1" applyBorder="1" applyAlignment="1" applyProtection="1">
      <alignment horizontal="right"/>
    </xf>
    <xf numFmtId="39" fontId="6" fillId="0" borderId="31" xfId="1" applyNumberFormat="1" applyFont="1" applyFill="1" applyBorder="1" applyAlignment="1" applyProtection="1">
      <alignment horizontal="right"/>
    </xf>
    <xf numFmtId="39" fontId="6" fillId="0" borderId="35" xfId="1" applyNumberFormat="1" applyFont="1" applyFill="1" applyBorder="1" applyAlignment="1" applyProtection="1">
      <alignment horizontal="right"/>
    </xf>
    <xf numFmtId="39" fontId="6" fillId="0" borderId="34" xfId="1" applyNumberFormat="1" applyFont="1" applyFill="1" applyBorder="1" applyAlignment="1" applyProtection="1">
      <alignment horizontal="right"/>
    </xf>
    <xf numFmtId="178" fontId="2" fillId="0" borderId="0" xfId="0" applyNumberFormat="1" applyFont="1"/>
    <xf numFmtId="0" fontId="12" fillId="4" borderId="27" xfId="0" applyFont="1" applyFill="1" applyBorder="1"/>
    <xf numFmtId="38" fontId="4" fillId="0" borderId="0" xfId="0" applyNumberFormat="1" applyFont="1" applyAlignment="1">
      <alignment horizontal="right"/>
    </xf>
    <xf numFmtId="179" fontId="4" fillId="0" borderId="0" xfId="0" applyNumberFormat="1" applyFont="1"/>
    <xf numFmtId="180" fontId="4" fillId="0" borderId="0" xfId="1" applyNumberFormat="1" applyFont="1"/>
    <xf numFmtId="180" fontId="6" fillId="0" borderId="0" xfId="1" applyNumberFormat="1" applyFont="1"/>
    <xf numFmtId="180" fontId="6" fillId="0" borderId="0" xfId="1" applyNumberFormat="1" applyFont="1" applyFill="1" applyBorder="1" applyAlignment="1" applyProtection="1">
      <alignment horizontal="right"/>
      <protection locked="0"/>
    </xf>
    <xf numFmtId="0" fontId="6" fillId="0" borderId="63" xfId="0" applyFont="1" applyBorder="1"/>
    <xf numFmtId="0" fontId="6" fillId="0" borderId="64" xfId="0" applyFont="1" applyBorder="1" applyAlignment="1">
      <alignment horizontal="left"/>
    </xf>
    <xf numFmtId="0" fontId="2" fillId="0" borderId="65" xfId="0" applyFont="1" applyBorder="1"/>
    <xf numFmtId="0" fontId="4" fillId="0" borderId="66" xfId="0" applyFont="1" applyBorder="1"/>
    <xf numFmtId="0" fontId="2" fillId="0" borderId="67" xfId="0" applyFont="1" applyBorder="1"/>
    <xf numFmtId="165" fontId="4" fillId="0" borderId="0" xfId="0" applyNumberFormat="1" applyFont="1"/>
    <xf numFmtId="165" fontId="4" fillId="0" borderId="67" xfId="0" applyNumberFormat="1" applyFont="1" applyBorder="1"/>
    <xf numFmtId="170" fontId="4" fillId="0" borderId="67" xfId="0" applyNumberFormat="1" applyFont="1" applyBorder="1"/>
    <xf numFmtId="0" fontId="2" fillId="0" borderId="66" xfId="0" applyFont="1" applyBorder="1"/>
    <xf numFmtId="164" fontId="4" fillId="0" borderId="67" xfId="0" applyNumberFormat="1" applyFont="1" applyBorder="1"/>
    <xf numFmtId="0" fontId="4" fillId="0" borderId="68" xfId="0" applyFont="1" applyBorder="1"/>
    <xf numFmtId="170" fontId="4" fillId="0" borderId="69" xfId="0" applyNumberFormat="1" applyFont="1" applyBorder="1"/>
    <xf numFmtId="0" fontId="4" fillId="0" borderId="73" xfId="0" applyFont="1" applyBorder="1"/>
    <xf numFmtId="0" fontId="4" fillId="0" borderId="74" xfId="0" applyFont="1" applyBorder="1"/>
    <xf numFmtId="0" fontId="4" fillId="0" borderId="64" xfId="0" applyFont="1" applyBorder="1"/>
    <xf numFmtId="40" fontId="2" fillId="0" borderId="67" xfId="1" applyFont="1" applyBorder="1"/>
    <xf numFmtId="40" fontId="4" fillId="0" borderId="41" xfId="1" applyFont="1" applyFill="1" applyBorder="1" applyAlignment="1">
      <alignment horizontal="right" vertical="center"/>
    </xf>
    <xf numFmtId="40" fontId="2" fillId="0" borderId="69" xfId="1" applyFont="1" applyBorder="1"/>
    <xf numFmtId="0" fontId="4" fillId="0" borderId="0" xfId="0" applyFont="1" applyProtection="1">
      <protection locked="0"/>
    </xf>
    <xf numFmtId="169" fontId="6" fillId="0" borderId="75" xfId="1" applyNumberFormat="1" applyFont="1" applyFill="1" applyBorder="1" applyAlignment="1">
      <alignment horizontal="right"/>
    </xf>
    <xf numFmtId="0" fontId="4" fillId="0" borderId="12" xfId="0" applyFont="1" applyBorder="1"/>
    <xf numFmtId="0" fontId="15" fillId="0" borderId="76" xfId="0" applyFont="1" applyBorder="1" applyAlignment="1">
      <alignment horizontal="left"/>
    </xf>
    <xf numFmtId="0" fontId="15" fillId="0" borderId="76" xfId="0" applyFont="1" applyBorder="1" applyAlignment="1">
      <alignment horizontal="left" wrapText="1"/>
    </xf>
    <xf numFmtId="0" fontId="15" fillId="0" borderId="76" xfId="0" applyFont="1" applyBorder="1" applyAlignment="1">
      <alignment horizontal="left" vertical="top" wrapText="1"/>
    </xf>
    <xf numFmtId="0" fontId="17" fillId="0" borderId="77" xfId="0" applyFont="1" applyBorder="1" applyAlignment="1">
      <alignment horizontal="left"/>
    </xf>
    <xf numFmtId="0" fontId="15" fillId="0" borderId="14" xfId="0" applyFont="1" applyBorder="1" applyAlignment="1">
      <alignment horizontal="left"/>
    </xf>
    <xf numFmtId="0" fontId="15" fillId="0" borderId="12" xfId="0" applyFont="1" applyBorder="1" applyAlignment="1">
      <alignment horizontal="left"/>
    </xf>
    <xf numFmtId="0" fontId="15" fillId="0" borderId="78" xfId="0" applyFont="1" applyBorder="1" applyAlignment="1">
      <alignment horizontal="left"/>
    </xf>
    <xf numFmtId="0" fontId="6" fillId="3" borderId="75" xfId="0" applyFont="1" applyFill="1" applyBorder="1"/>
    <xf numFmtId="0" fontId="4" fillId="3" borderId="12" xfId="0" applyFont="1" applyFill="1" applyBorder="1"/>
    <xf numFmtId="0" fontId="15" fillId="3" borderId="76" xfId="0" applyFont="1" applyFill="1" applyBorder="1"/>
    <xf numFmtId="0" fontId="4" fillId="3" borderId="79" xfId="0" applyFont="1" applyFill="1" applyBorder="1" applyAlignment="1">
      <alignment wrapText="1"/>
    </xf>
    <xf numFmtId="0" fontId="6" fillId="6" borderId="75" xfId="0" applyFont="1" applyFill="1" applyBorder="1" applyAlignment="1">
      <alignment wrapText="1"/>
    </xf>
    <xf numFmtId="0" fontId="4" fillId="6" borderId="76" xfId="0" applyFont="1" applyFill="1" applyBorder="1"/>
    <xf numFmtId="0" fontId="15" fillId="6" borderId="76" xfId="0" applyFont="1" applyFill="1" applyBorder="1"/>
    <xf numFmtId="0" fontId="4" fillId="6" borderId="79" xfId="0" applyFont="1" applyFill="1" applyBorder="1"/>
    <xf numFmtId="39" fontId="4" fillId="0" borderId="5" xfId="1" applyNumberFormat="1" applyFont="1" applyFill="1" applyBorder="1" applyAlignment="1" applyProtection="1">
      <alignment horizontal="right"/>
      <protection locked="0"/>
    </xf>
    <xf numFmtId="39" fontId="4" fillId="0" borderId="31" xfId="1" applyNumberFormat="1" applyFont="1" applyFill="1" applyBorder="1" applyAlignment="1" applyProtection="1">
      <alignment horizontal="right"/>
      <protection locked="0"/>
    </xf>
    <xf numFmtId="39" fontId="4" fillId="0" borderId="6" xfId="1" applyNumberFormat="1" applyFont="1" applyFill="1" applyBorder="1" applyAlignment="1" applyProtection="1">
      <alignment horizontal="right"/>
      <protection locked="0"/>
    </xf>
    <xf numFmtId="39" fontId="4" fillId="0" borderId="6" xfId="1" quotePrefix="1" applyNumberFormat="1" applyFont="1" applyFill="1" applyBorder="1" applyAlignment="1" applyProtection="1">
      <alignment horizontal="right"/>
      <protection locked="0"/>
    </xf>
    <xf numFmtId="39" fontId="4" fillId="0" borderId="36" xfId="1" quotePrefix="1" applyNumberFormat="1" applyFont="1" applyFill="1" applyBorder="1" applyAlignment="1" applyProtection="1">
      <alignment horizontal="right"/>
      <protection locked="0"/>
    </xf>
    <xf numFmtId="39" fontId="6" fillId="0" borderId="37" xfId="1" applyNumberFormat="1" applyFont="1" applyFill="1" applyBorder="1" applyAlignment="1" applyProtection="1">
      <alignment horizontal="right"/>
    </xf>
    <xf numFmtId="39" fontId="6" fillId="3" borderId="5" xfId="1" applyNumberFormat="1" applyFont="1" applyFill="1" applyBorder="1" applyAlignment="1" applyProtection="1">
      <alignment horizontal="right"/>
    </xf>
    <xf numFmtId="39" fontId="6" fillId="3" borderId="31" xfId="1" applyNumberFormat="1" applyFont="1" applyFill="1" applyBorder="1" applyAlignment="1" applyProtection="1">
      <alignment horizontal="right"/>
    </xf>
    <xf numFmtId="39" fontId="6" fillId="3" borderId="6" xfId="1" applyNumberFormat="1" applyFont="1" applyFill="1" applyBorder="1" applyAlignment="1" applyProtection="1">
      <alignment horizontal="right"/>
    </xf>
    <xf numFmtId="39" fontId="6" fillId="3" borderId="32" xfId="1" applyNumberFormat="1" applyFont="1" applyFill="1" applyBorder="1" applyAlignment="1" applyProtection="1">
      <alignment horizontal="right"/>
    </xf>
    <xf numFmtId="39" fontId="6" fillId="3" borderId="33" xfId="1" applyNumberFormat="1" applyFont="1" applyFill="1" applyBorder="1" applyAlignment="1" applyProtection="1">
      <alignment horizontal="right"/>
    </xf>
    <xf numFmtId="39" fontId="6" fillId="6" borderId="6" xfId="1" applyNumberFormat="1" applyFont="1" applyFill="1" applyBorder="1" applyAlignment="1" applyProtection="1">
      <alignment horizontal="right"/>
    </xf>
    <xf numFmtId="39" fontId="6" fillId="6" borderId="31" xfId="1" applyNumberFormat="1" applyFont="1" applyFill="1" applyBorder="1" applyAlignment="1" applyProtection="1">
      <alignment horizontal="right"/>
    </xf>
    <xf numFmtId="39" fontId="6" fillId="6" borderId="32" xfId="1" applyNumberFormat="1" applyFont="1" applyFill="1" applyBorder="1" applyAlignment="1" applyProtection="1">
      <alignment horizontal="right"/>
    </xf>
    <xf numFmtId="39" fontId="6" fillId="6" borderId="33" xfId="1" applyNumberFormat="1" applyFont="1" applyFill="1" applyBorder="1" applyAlignment="1" applyProtection="1">
      <alignment horizontal="right"/>
    </xf>
    <xf numFmtId="39" fontId="6" fillId="3" borderId="10" xfId="1" applyNumberFormat="1" applyFont="1" applyFill="1" applyBorder="1" applyAlignment="1" applyProtection="1">
      <alignment horizontal="right"/>
    </xf>
    <xf numFmtId="39" fontId="6" fillId="0" borderId="40" xfId="1" quotePrefix="1" applyNumberFormat="1" applyFont="1" applyFill="1" applyBorder="1" applyAlignment="1" applyProtection="1">
      <alignment horizontal="right"/>
    </xf>
    <xf numFmtId="39" fontId="4" fillId="0" borderId="10" xfId="1" applyNumberFormat="1" applyFont="1" applyFill="1" applyBorder="1" applyAlignment="1" applyProtection="1">
      <alignment horizontal="right"/>
      <protection locked="0"/>
    </xf>
    <xf numFmtId="39" fontId="6" fillId="0" borderId="40" xfId="1" applyNumberFormat="1" applyFont="1" applyFill="1" applyBorder="1" applyAlignment="1" applyProtection="1">
      <alignment horizontal="right"/>
    </xf>
    <xf numFmtId="39" fontId="4" fillId="0" borderId="31" xfId="1" quotePrefix="1" applyNumberFormat="1" applyFont="1" applyFill="1" applyBorder="1" applyAlignment="1" applyProtection="1">
      <alignment horizontal="right"/>
      <protection locked="0"/>
    </xf>
    <xf numFmtId="39" fontId="6" fillId="0" borderId="39" xfId="1" applyNumberFormat="1" applyFont="1" applyFill="1" applyBorder="1" applyAlignment="1" applyProtection="1">
      <alignment horizontal="right"/>
    </xf>
    <xf numFmtId="39" fontId="6" fillId="0" borderId="55" xfId="1" applyNumberFormat="1" applyFont="1" applyFill="1" applyBorder="1" applyAlignment="1" applyProtection="1">
      <alignment horizontal="right"/>
    </xf>
    <xf numFmtId="9" fontId="4" fillId="7" borderId="0" xfId="2" applyFont="1" applyFill="1" applyProtection="1">
      <protection locked="0"/>
    </xf>
    <xf numFmtId="39" fontId="4" fillId="0" borderId="80" xfId="1" applyNumberFormat="1" applyFont="1" applyFill="1" applyBorder="1" applyAlignment="1" applyProtection="1">
      <alignment horizontal="right"/>
    </xf>
    <xf numFmtId="169" fontId="6" fillId="0" borderId="81" xfId="1" applyNumberFormat="1" applyFont="1" applyFill="1" applyBorder="1" applyAlignment="1">
      <alignment horizontal="right"/>
    </xf>
    <xf numFmtId="0" fontId="4" fillId="0" borderId="82" xfId="0" applyFont="1" applyBorder="1"/>
    <xf numFmtId="0" fontId="15" fillId="0" borderId="83" xfId="0" applyFont="1" applyBorder="1" applyAlignment="1">
      <alignment horizontal="left"/>
    </xf>
    <xf numFmtId="0" fontId="15" fillId="0" borderId="83" xfId="0" applyFont="1" applyBorder="1" applyAlignment="1">
      <alignment horizontal="left" wrapText="1"/>
    </xf>
    <xf numFmtId="0" fontId="15" fillId="0" borderId="83" xfId="0" applyFont="1" applyBorder="1" applyAlignment="1">
      <alignment horizontal="left" vertical="top" wrapText="1"/>
    </xf>
    <xf numFmtId="0" fontId="17" fillId="0" borderId="84" xfId="0" applyFont="1" applyBorder="1" applyAlignment="1">
      <alignment horizontal="left"/>
    </xf>
    <xf numFmtId="0" fontId="15" fillId="0" borderId="85" xfId="0" applyFont="1" applyBorder="1" applyAlignment="1">
      <alignment horizontal="left"/>
    </xf>
    <xf numFmtId="0" fontId="15" fillId="0" borderId="68" xfId="0" applyFont="1" applyBorder="1" applyAlignment="1">
      <alignment horizontal="left"/>
    </xf>
    <xf numFmtId="0" fontId="6" fillId="3" borderId="81" xfId="0" applyFont="1" applyFill="1" applyBorder="1"/>
    <xf numFmtId="0" fontId="4" fillId="3" borderId="82" xfId="0" applyFont="1" applyFill="1" applyBorder="1"/>
    <xf numFmtId="0" fontId="15" fillId="3" borderId="83" xfId="0" applyFont="1" applyFill="1" applyBorder="1"/>
    <xf numFmtId="0" fontId="4" fillId="3" borderId="87" xfId="0" applyFont="1" applyFill="1" applyBorder="1" applyAlignment="1">
      <alignment wrapText="1"/>
    </xf>
    <xf numFmtId="0" fontId="6" fillId="6" borderId="81" xfId="0" applyFont="1" applyFill="1" applyBorder="1" applyAlignment="1">
      <alignment wrapText="1"/>
    </xf>
    <xf numFmtId="0" fontId="4" fillId="6" borderId="83" xfId="0" applyFont="1" applyFill="1" applyBorder="1"/>
    <xf numFmtId="0" fontId="15" fillId="6" borderId="83" xfId="0" applyFont="1" applyFill="1" applyBorder="1"/>
    <xf numFmtId="0" fontId="4" fillId="6" borderId="87" xfId="0" applyFont="1" applyFill="1" applyBorder="1"/>
    <xf numFmtId="0" fontId="15" fillId="0" borderId="8" xfId="0" applyFont="1" applyBorder="1" applyAlignment="1">
      <alignment horizontal="left"/>
    </xf>
    <xf numFmtId="39" fontId="15" fillId="0" borderId="83" xfId="0" applyNumberFormat="1" applyFont="1" applyBorder="1" applyAlignment="1">
      <alignment horizontal="left"/>
    </xf>
    <xf numFmtId="39" fontId="15" fillId="0" borderId="85" xfId="0" applyNumberFormat="1" applyFont="1" applyBorder="1" applyAlignment="1">
      <alignment horizontal="left"/>
    </xf>
    <xf numFmtId="0" fontId="5" fillId="0" borderId="0" xfId="0" applyFont="1" applyAlignment="1" applyProtection="1">
      <alignment horizontal="left"/>
      <protection locked="0"/>
    </xf>
    <xf numFmtId="0" fontId="4" fillId="0" borderId="76" xfId="0" applyFont="1" applyBorder="1"/>
    <xf numFmtId="39" fontId="6" fillId="0" borderId="88" xfId="1" applyNumberFormat="1" applyFont="1" applyFill="1" applyBorder="1" applyAlignment="1">
      <alignment horizontal="right"/>
    </xf>
    <xf numFmtId="39" fontId="4" fillId="0" borderId="90" xfId="1" applyNumberFormat="1" applyFont="1" applyFill="1" applyBorder="1" applyAlignment="1">
      <alignment horizontal="right"/>
    </xf>
    <xf numFmtId="39" fontId="6" fillId="0" borderId="89" xfId="1" applyNumberFormat="1" applyFont="1" applyFill="1" applyBorder="1" applyAlignment="1">
      <alignment horizontal="right"/>
    </xf>
    <xf numFmtId="39" fontId="4" fillId="0" borderId="91" xfId="1" applyNumberFormat="1" applyFont="1" applyFill="1" applyBorder="1" applyAlignment="1">
      <alignment horizontal="right"/>
    </xf>
    <xf numFmtId="0" fontId="17" fillId="0" borderId="86" xfId="0" applyFont="1" applyBorder="1" applyAlignment="1">
      <alignment horizontal="left"/>
    </xf>
    <xf numFmtId="0" fontId="17" fillId="0" borderId="92" xfId="0" applyFont="1" applyBorder="1" applyAlignment="1">
      <alignment horizontal="left"/>
    </xf>
    <xf numFmtId="0" fontId="4" fillId="0" borderId="83" xfId="0" applyFont="1" applyBorder="1"/>
    <xf numFmtId="0" fontId="15" fillId="0" borderId="93" xfId="0" applyFont="1" applyBorder="1" applyAlignment="1">
      <alignment horizontal="left"/>
    </xf>
    <xf numFmtId="0" fontId="15" fillId="0" borderId="94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2" fillId="0" borderId="0" xfId="0" applyFont="1" applyAlignment="1">
      <alignment vertical="top"/>
    </xf>
    <xf numFmtId="0" fontId="14" fillId="0" borderId="0" xfId="3" applyFont="1" applyAlignment="1">
      <alignment vertical="top"/>
    </xf>
    <xf numFmtId="0" fontId="2" fillId="2" borderId="62" xfId="0" applyFont="1" applyFill="1" applyBorder="1" applyAlignment="1">
      <alignment vertical="top"/>
    </xf>
    <xf numFmtId="0" fontId="32" fillId="0" borderId="62" xfId="0" applyFont="1" applyBorder="1" applyAlignment="1">
      <alignment vertical="top"/>
    </xf>
    <xf numFmtId="0" fontId="2" fillId="0" borderId="11" xfId="0" applyFont="1" applyBorder="1" applyAlignment="1">
      <alignment horizontal="left" vertical="top" wrapText="1"/>
    </xf>
    <xf numFmtId="0" fontId="3" fillId="0" borderId="18" xfId="0" applyFont="1" applyBorder="1" applyAlignment="1">
      <alignment vertical="top"/>
    </xf>
    <xf numFmtId="0" fontId="3" fillId="0" borderId="17" xfId="0" applyFont="1" applyBorder="1" applyAlignment="1">
      <alignment vertical="top"/>
    </xf>
    <xf numFmtId="0" fontId="2" fillId="0" borderId="17" xfId="0" applyFont="1" applyBorder="1" applyAlignment="1">
      <alignment vertical="top"/>
    </xf>
    <xf numFmtId="0" fontId="2" fillId="0" borderId="16" xfId="0" applyFont="1" applyBorder="1" applyAlignment="1">
      <alignment vertical="top"/>
    </xf>
    <xf numFmtId="0" fontId="2" fillId="0" borderId="11" xfId="0" applyFont="1" applyBorder="1" applyAlignment="1">
      <alignment vertical="top"/>
    </xf>
    <xf numFmtId="0" fontId="2" fillId="0" borderId="19" xfId="0" applyFont="1" applyBorder="1" applyAlignment="1">
      <alignment vertical="top"/>
    </xf>
    <xf numFmtId="0" fontId="14" fillId="0" borderId="0" xfId="3" applyFont="1" applyBorder="1" applyAlignment="1">
      <alignment vertical="top"/>
    </xf>
    <xf numFmtId="0" fontId="2" fillId="0" borderId="20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14" fillId="0" borderId="1" xfId="3" applyFont="1" applyBorder="1" applyAlignment="1">
      <alignment vertical="top"/>
    </xf>
    <xf numFmtId="0" fontId="2" fillId="0" borderId="21" xfId="0" applyFont="1" applyBorder="1" applyAlignment="1">
      <alignment vertical="top"/>
    </xf>
    <xf numFmtId="0" fontId="33" fillId="0" borderId="17" xfId="0" applyFont="1" applyBorder="1" applyAlignment="1">
      <alignment vertical="top"/>
    </xf>
    <xf numFmtId="0" fontId="33" fillId="0" borderId="0" xfId="0" applyFont="1" applyAlignment="1">
      <alignment vertical="top"/>
    </xf>
    <xf numFmtId="0" fontId="33" fillId="0" borderId="1" xfId="0" applyFont="1" applyBorder="1" applyAlignment="1">
      <alignment vertical="top"/>
    </xf>
    <xf numFmtId="0" fontId="2" fillId="0" borderId="0" xfId="0" quotePrefix="1" applyFont="1" applyAlignment="1">
      <alignment vertical="top"/>
    </xf>
    <xf numFmtId="0" fontId="2" fillId="0" borderId="1" xfId="0" quotePrefix="1" applyFont="1" applyBorder="1" applyAlignment="1">
      <alignment vertical="top"/>
    </xf>
    <xf numFmtId="0" fontId="2" fillId="0" borderId="0" xfId="0" quotePrefix="1" applyFont="1" applyAlignment="1">
      <alignment horizontal="right" vertical="top"/>
    </xf>
    <xf numFmtId="0" fontId="14" fillId="0" borderId="0" xfId="3" quotePrefix="1" applyFont="1" applyBorder="1" applyAlignment="1">
      <alignment vertical="top"/>
    </xf>
    <xf numFmtId="0" fontId="2" fillId="0" borderId="11" xfId="0" quotePrefix="1" applyFont="1" applyBorder="1" applyAlignment="1">
      <alignment vertical="top"/>
    </xf>
    <xf numFmtId="0" fontId="2" fillId="0" borderId="20" xfId="0" quotePrefix="1" applyFont="1" applyBorder="1" applyAlignment="1">
      <alignment vertical="top"/>
    </xf>
    <xf numFmtId="0" fontId="2" fillId="0" borderId="1" xfId="0" quotePrefix="1" applyFont="1" applyBorder="1" applyAlignment="1">
      <alignment horizontal="right" vertical="top"/>
    </xf>
    <xf numFmtId="0" fontId="2" fillId="0" borderId="1" xfId="0" applyFont="1" applyBorder="1" applyAlignment="1">
      <alignment vertical="top" wrapText="1"/>
    </xf>
    <xf numFmtId="0" fontId="31" fillId="0" borderId="0" xfId="0" applyFont="1" applyAlignment="1">
      <alignment vertical="center"/>
    </xf>
    <xf numFmtId="0" fontId="18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2" fillId="0" borderId="0" xfId="0" applyFont="1" applyAlignment="1">
      <alignment vertical="top" wrapText="1"/>
    </xf>
    <xf numFmtId="0" fontId="12" fillId="0" borderId="19" xfId="0" applyFont="1" applyBorder="1" applyAlignment="1">
      <alignment vertical="top" wrapText="1"/>
    </xf>
    <xf numFmtId="0" fontId="12" fillId="0" borderId="1" xfId="0" quotePrefix="1" applyFont="1" applyBorder="1" applyAlignment="1">
      <alignment horizontal="right" vertical="top" wrapText="1"/>
    </xf>
    <xf numFmtId="0" fontId="14" fillId="0" borderId="21" xfId="3" applyFont="1" applyFill="1" applyBorder="1" applyAlignment="1">
      <alignment vertical="top"/>
    </xf>
    <xf numFmtId="14" fontId="2" fillId="0" borderId="0" xfId="0" applyNumberFormat="1" applyFont="1" applyAlignment="1">
      <alignment horizontal="left"/>
    </xf>
    <xf numFmtId="39" fontId="6" fillId="6" borderId="15" xfId="1" applyNumberFormat="1" applyFont="1" applyFill="1" applyBorder="1" applyAlignment="1" applyProtection="1">
      <alignment horizontal="right"/>
    </xf>
    <xf numFmtId="39" fontId="6" fillId="6" borderId="35" xfId="1" applyNumberFormat="1" applyFont="1" applyFill="1" applyBorder="1" applyAlignment="1" applyProtection="1">
      <alignment horizontal="right"/>
    </xf>
    <xf numFmtId="0" fontId="5" fillId="8" borderId="0" xfId="0" applyFont="1" applyFill="1" applyAlignment="1" applyProtection="1">
      <alignment horizontal="left"/>
      <protection locked="0"/>
    </xf>
    <xf numFmtId="14" fontId="5" fillId="8" borderId="0" xfId="0" applyNumberFormat="1" applyFont="1" applyFill="1" applyProtection="1">
      <protection locked="0"/>
    </xf>
    <xf numFmtId="9" fontId="5" fillId="8" borderId="0" xfId="2" applyFont="1" applyFill="1" applyBorder="1" applyAlignment="1" applyProtection="1">
      <alignment horizontal="left"/>
      <protection locked="0"/>
    </xf>
    <xf numFmtId="0" fontId="5" fillId="8" borderId="0" xfId="0" applyFont="1" applyFill="1" applyAlignment="1" applyProtection="1">
      <alignment horizontal="right"/>
      <protection locked="0"/>
    </xf>
    <xf numFmtId="39" fontId="4" fillId="8" borderId="6" xfId="1" applyNumberFormat="1" applyFont="1" applyFill="1" applyBorder="1" applyAlignment="1" applyProtection="1">
      <alignment horizontal="right"/>
      <protection locked="0"/>
    </xf>
    <xf numFmtId="39" fontId="4" fillId="8" borderId="31" xfId="1" applyNumberFormat="1" applyFont="1" applyFill="1" applyBorder="1" applyAlignment="1" applyProtection="1">
      <alignment horizontal="right"/>
      <protection locked="0"/>
    </xf>
    <xf numFmtId="39" fontId="4" fillId="8" borderId="6" xfId="0" applyNumberFormat="1" applyFont="1" applyFill="1" applyBorder="1" applyAlignment="1" applyProtection="1">
      <alignment horizontal="right"/>
      <protection locked="0"/>
    </xf>
    <xf numFmtId="39" fontId="4" fillId="8" borderId="31" xfId="0" applyNumberFormat="1" applyFont="1" applyFill="1" applyBorder="1" applyAlignment="1" applyProtection="1">
      <alignment horizontal="right"/>
      <protection locked="0"/>
    </xf>
    <xf numFmtId="39" fontId="4" fillId="8" borderId="10" xfId="1" applyNumberFormat="1" applyFont="1" applyFill="1" applyBorder="1" applyAlignment="1" applyProtection="1">
      <alignment horizontal="right"/>
      <protection locked="0"/>
    </xf>
    <xf numFmtId="164" fontId="4" fillId="8" borderId="0" xfId="0" applyNumberFormat="1" applyFont="1" applyFill="1" applyProtection="1">
      <protection locked="0"/>
    </xf>
    <xf numFmtId="164" fontId="4" fillId="8" borderId="0" xfId="2" applyNumberFormat="1" applyFont="1" applyFill="1" applyBorder="1" applyProtection="1">
      <protection locked="0"/>
    </xf>
    <xf numFmtId="170" fontId="4" fillId="8" borderId="0" xfId="0" applyNumberFormat="1" applyFont="1" applyFill="1" applyProtection="1">
      <protection locked="0"/>
    </xf>
    <xf numFmtId="164" fontId="4" fillId="8" borderId="41" xfId="2" applyNumberFormat="1" applyFont="1" applyFill="1" applyBorder="1" applyProtection="1">
      <protection locked="0"/>
    </xf>
    <xf numFmtId="0" fontId="5" fillId="0" borderId="0" xfId="0" applyFont="1" applyAlignment="1" applyProtection="1">
      <alignment horizontal="right"/>
      <protection locked="0"/>
    </xf>
    <xf numFmtId="0" fontId="2" fillId="8" borderId="11" xfId="0" applyFont="1" applyFill="1" applyBorder="1" applyAlignment="1" applyProtection="1">
      <alignment horizontal="left" vertical="top" wrapText="1"/>
      <protection locked="0"/>
    </xf>
    <xf numFmtId="0" fontId="2" fillId="8" borderId="0" xfId="0" applyFont="1" applyFill="1" applyAlignment="1" applyProtection="1">
      <alignment horizontal="left" vertical="top" wrapText="1"/>
      <protection locked="0"/>
    </xf>
    <xf numFmtId="0" fontId="2" fillId="8" borderId="19" xfId="0" applyFont="1" applyFill="1" applyBorder="1" applyAlignment="1" applyProtection="1">
      <alignment horizontal="left" vertical="top" wrapText="1"/>
      <protection locked="0"/>
    </xf>
    <xf numFmtId="0" fontId="2" fillId="8" borderId="0" xfId="0" applyFont="1" applyFill="1" applyAlignment="1">
      <alignment horizontal="center"/>
    </xf>
    <xf numFmtId="0" fontId="24" fillId="8" borderId="0" xfId="0" applyFont="1" applyFill="1" applyAlignment="1">
      <alignment horizontal="center"/>
    </xf>
    <xf numFmtId="14" fontId="2" fillId="8" borderId="0" xfId="0" applyNumberFormat="1" applyFont="1" applyFill="1" applyAlignment="1">
      <alignment horizontal="left"/>
    </xf>
    <xf numFmtId="37" fontId="2" fillId="8" borderId="0" xfId="1" applyNumberFormat="1" applyFont="1" applyFill="1"/>
    <xf numFmtId="3" fontId="2" fillId="8" borderId="0" xfId="1" applyNumberFormat="1" applyFont="1" applyFill="1"/>
    <xf numFmtId="38" fontId="2" fillId="8" borderId="0" xfId="1" applyNumberFormat="1" applyFont="1" applyFill="1"/>
    <xf numFmtId="40" fontId="2" fillId="8" borderId="0" xfId="1" applyFont="1" applyFill="1"/>
    <xf numFmtId="39" fontId="6" fillId="6" borderId="40" xfId="0" applyNumberFormat="1" applyFont="1" applyFill="1" applyBorder="1" applyAlignment="1">
      <alignment horizontal="right"/>
    </xf>
    <xf numFmtId="0" fontId="4" fillId="0" borderId="0" xfId="0" applyFont="1" applyAlignment="1">
      <alignment vertical="center"/>
    </xf>
    <xf numFmtId="39" fontId="4" fillId="0" borderId="15" xfId="1" applyNumberFormat="1" applyFont="1" applyFill="1" applyBorder="1" applyAlignment="1" applyProtection="1">
      <alignment horizontal="right"/>
      <protection locked="0"/>
    </xf>
    <xf numFmtId="39" fontId="4" fillId="0" borderId="35" xfId="1" applyNumberFormat="1" applyFont="1" applyFill="1" applyBorder="1" applyAlignment="1" applyProtection="1">
      <alignment horizontal="right"/>
      <protection locked="0"/>
    </xf>
    <xf numFmtId="0" fontId="35" fillId="0" borderId="0" xfId="0" applyFont="1"/>
    <xf numFmtId="14" fontId="35" fillId="9" borderId="0" xfId="0" applyNumberFormat="1" applyFont="1" applyFill="1" applyProtection="1">
      <protection locked="0"/>
    </xf>
    <xf numFmtId="14" fontId="35" fillId="0" borderId="0" xfId="0" applyNumberFormat="1" applyFont="1"/>
    <xf numFmtId="0" fontId="36" fillId="0" borderId="0" xfId="0" applyFont="1"/>
    <xf numFmtId="164" fontId="35" fillId="9" borderId="0" xfId="2" applyNumberFormat="1" applyFont="1" applyFill="1" applyProtection="1">
      <protection locked="0"/>
    </xf>
    <xf numFmtId="40" fontId="35" fillId="9" borderId="0" xfId="1" applyFont="1" applyFill="1" applyProtection="1">
      <protection locked="0"/>
    </xf>
    <xf numFmtId="0" fontId="11" fillId="0" borderId="0" xfId="0" applyFont="1"/>
    <xf numFmtId="39" fontId="37" fillId="0" borderId="0" xfId="0" applyNumberFormat="1" applyFont="1" applyAlignment="1">
      <alignment horizontal="right"/>
    </xf>
    <xf numFmtId="40" fontId="37" fillId="0" borderId="0" xfId="1" applyFont="1" applyFill="1" applyBorder="1" applyProtection="1"/>
    <xf numFmtId="0" fontId="37" fillId="0" borderId="0" xfId="0" applyFont="1"/>
    <xf numFmtId="40" fontId="11" fillId="0" borderId="0" xfId="1" applyFont="1" applyProtection="1"/>
    <xf numFmtId="2" fontId="11" fillId="0" borderId="0" xfId="0" applyNumberFormat="1" applyFont="1" applyAlignment="1">
      <alignment wrapText="1"/>
    </xf>
    <xf numFmtId="166" fontId="37" fillId="0" borderId="0" xfId="0" applyNumberFormat="1" applyFont="1"/>
    <xf numFmtId="41" fontId="38" fillId="0" borderId="0" xfId="0" applyNumberFormat="1" applyFont="1"/>
    <xf numFmtId="41" fontId="38" fillId="7" borderId="0" xfId="0" applyNumberFormat="1" applyFont="1" applyFill="1"/>
    <xf numFmtId="41" fontId="38" fillId="2" borderId="0" xfId="0" applyNumberFormat="1" applyFont="1" applyFill="1"/>
    <xf numFmtId="0" fontId="39" fillId="0" borderId="0" xfId="0" applyFont="1"/>
    <xf numFmtId="14" fontId="39" fillId="0" borderId="0" xfId="0" applyNumberFormat="1" applyFont="1"/>
    <xf numFmtId="0" fontId="11" fillId="0" borderId="0" xfId="0" applyFont="1" applyAlignment="1">
      <alignment horizontal="right"/>
    </xf>
    <xf numFmtId="40" fontId="2" fillId="0" borderId="0" xfId="1" applyFont="1" applyFill="1" applyProtection="1"/>
    <xf numFmtId="40" fontId="2" fillId="0" borderId="0" xfId="0" applyNumberFormat="1" applyFont="1"/>
    <xf numFmtId="174" fontId="2" fillId="0" borderId="0" xfId="0" applyNumberFormat="1" applyFont="1"/>
    <xf numFmtId="176" fontId="2" fillId="0" borderId="0" xfId="0" applyNumberFormat="1" applyFont="1"/>
    <xf numFmtId="2" fontId="37" fillId="0" borderId="0" xfId="0" applyNumberFormat="1" applyFont="1" applyAlignment="1">
      <alignment wrapText="1"/>
    </xf>
    <xf numFmtId="41" fontId="11" fillId="10" borderId="0" xfId="0" applyNumberFormat="1" applyFont="1" applyFill="1"/>
    <xf numFmtId="0" fontId="2" fillId="0" borderId="0" xfId="0" applyFont="1" applyAlignment="1">
      <alignment vertical="center"/>
    </xf>
    <xf numFmtId="0" fontId="32" fillId="4" borderId="95" xfId="0" applyFont="1" applyFill="1" applyBorder="1" applyAlignment="1">
      <alignment vertical="top"/>
    </xf>
    <xf numFmtId="0" fontId="32" fillId="4" borderId="58" xfId="0" applyFont="1" applyFill="1" applyBorder="1" applyAlignment="1">
      <alignment vertical="top"/>
    </xf>
    <xf numFmtId="0" fontId="3" fillId="0" borderId="1" xfId="0" applyFont="1" applyBorder="1" applyAlignment="1">
      <alignment vertical="top"/>
    </xf>
    <xf numFmtId="0" fontId="2" fillId="0" borderId="60" xfId="0" applyFont="1" applyBorder="1" applyAlignment="1">
      <alignment vertical="top"/>
    </xf>
    <xf numFmtId="0" fontId="3" fillId="0" borderId="60" xfId="0" applyFont="1" applyBorder="1" applyAlignment="1">
      <alignment vertical="top"/>
    </xf>
    <xf numFmtId="0" fontId="2" fillId="0" borderId="11" xfId="0" quotePrefix="1" applyFont="1" applyBorder="1" applyAlignment="1">
      <alignment horizontal="right" vertical="top"/>
    </xf>
    <xf numFmtId="0" fontId="2" fillId="0" borderId="11" xfId="0" applyFont="1" applyBorder="1" applyAlignment="1">
      <alignment horizontal="right" vertical="top"/>
    </xf>
    <xf numFmtId="0" fontId="2" fillId="0" borderId="20" xfId="0" quotePrefix="1" applyFont="1" applyBorder="1" applyAlignment="1">
      <alignment horizontal="right" vertical="top"/>
    </xf>
    <xf numFmtId="172" fontId="7" fillId="3" borderId="0" xfId="0" applyNumberFormat="1" applyFont="1" applyFill="1"/>
    <xf numFmtId="0" fontId="6" fillId="0" borderId="17" xfId="0" applyFont="1" applyBorder="1" applyAlignment="1">
      <alignment horizontal="right"/>
    </xf>
    <xf numFmtId="0" fontId="6" fillId="0" borderId="65" xfId="0" applyFont="1" applyBorder="1" applyAlignment="1">
      <alignment horizontal="right"/>
    </xf>
    <xf numFmtId="182" fontId="4" fillId="0" borderId="0" xfId="0" applyNumberFormat="1" applyFont="1"/>
    <xf numFmtId="0" fontId="4" fillId="0" borderId="82" xfId="0" applyFont="1" applyBorder="1" applyAlignment="1">
      <alignment wrapText="1"/>
    </xf>
    <xf numFmtId="0" fontId="4" fillId="6" borderId="85" xfId="0" applyFont="1" applyFill="1" applyBorder="1" applyAlignment="1">
      <alignment wrapText="1"/>
    </xf>
    <xf numFmtId="0" fontId="4" fillId="6" borderId="87" xfId="0" applyFont="1" applyFill="1" applyBorder="1" applyAlignment="1">
      <alignment wrapText="1"/>
    </xf>
    <xf numFmtId="0" fontId="4" fillId="0" borderId="76" xfId="0" applyFont="1" applyBorder="1" applyAlignment="1">
      <alignment horizontal="left"/>
    </xf>
    <xf numFmtId="0" fontId="4" fillId="6" borderId="14" xfId="0" applyFont="1" applyFill="1" applyBorder="1"/>
    <xf numFmtId="39" fontId="6" fillId="6" borderId="79" xfId="1" applyNumberFormat="1" applyFont="1" applyFill="1" applyBorder="1" applyAlignment="1" applyProtection="1">
      <alignment horizontal="right"/>
    </xf>
    <xf numFmtId="0" fontId="4" fillId="0" borderId="82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19" xfId="0" applyFont="1" applyBorder="1" applyAlignment="1">
      <alignment horizontal="left" vertical="top" wrapText="1"/>
    </xf>
    <xf numFmtId="0" fontId="14" fillId="0" borderId="0" xfId="3" applyFont="1" applyFill="1" applyAlignment="1">
      <alignment horizontal="left"/>
    </xf>
    <xf numFmtId="0" fontId="14" fillId="0" borderId="0" xfId="3" applyFont="1" applyFill="1" applyAlignment="1">
      <alignment horizontal="left" vertical="top"/>
    </xf>
    <xf numFmtId="0" fontId="14" fillId="0" borderId="19" xfId="3" applyFont="1" applyFill="1" applyBorder="1" applyAlignment="1">
      <alignment horizontal="left" vertical="top"/>
    </xf>
    <xf numFmtId="40" fontId="4" fillId="8" borderId="28" xfId="1" applyFont="1" applyFill="1" applyBorder="1" applyAlignment="1" applyProtection="1">
      <alignment horizontal="left" wrapText="1"/>
      <protection locked="0"/>
    </xf>
    <xf numFmtId="40" fontId="4" fillId="8" borderId="44" xfId="1" applyFont="1" applyFill="1" applyBorder="1" applyAlignment="1" applyProtection="1">
      <alignment horizontal="left" wrapText="1"/>
      <protection locked="0"/>
    </xf>
    <xf numFmtId="0" fontId="22" fillId="0" borderId="0" xfId="3" applyFont="1" applyFill="1" applyAlignment="1">
      <alignment horizontal="center" vertical="center" wrapText="1"/>
    </xf>
    <xf numFmtId="14" fontId="5" fillId="8" borderId="0" xfId="0" applyNumberFormat="1" applyFont="1" applyFill="1" applyAlignment="1" applyProtection="1">
      <alignment horizontal="left"/>
      <protection locked="0"/>
    </xf>
    <xf numFmtId="4" fontId="4" fillId="8" borderId="42" xfId="0" applyNumberFormat="1" applyFont="1" applyFill="1" applyBorder="1" applyAlignment="1" applyProtection="1">
      <alignment horizontal="left" wrapText="1"/>
      <protection locked="0"/>
    </xf>
    <xf numFmtId="4" fontId="4" fillId="8" borderId="45" xfId="0" applyNumberFormat="1" applyFont="1" applyFill="1" applyBorder="1" applyAlignment="1" applyProtection="1">
      <alignment horizontal="left" wrapText="1"/>
      <protection locked="0"/>
    </xf>
    <xf numFmtId="4" fontId="4" fillId="8" borderId="28" xfId="0" applyNumberFormat="1" applyFont="1" applyFill="1" applyBorder="1" applyAlignment="1" applyProtection="1">
      <alignment horizontal="left" wrapText="1"/>
      <protection locked="0"/>
    </xf>
    <xf numFmtId="4" fontId="4" fillId="8" borderId="44" xfId="0" applyNumberFormat="1" applyFont="1" applyFill="1" applyBorder="1" applyAlignment="1" applyProtection="1">
      <alignment horizontal="left" wrapText="1"/>
      <protection locked="0"/>
    </xf>
    <xf numFmtId="0" fontId="5" fillId="8" borderId="0" xfId="0" applyFont="1" applyFill="1" applyAlignment="1" applyProtection="1">
      <alignment horizontal="left"/>
      <protection locked="0"/>
    </xf>
    <xf numFmtId="0" fontId="4" fillId="0" borderId="68" xfId="0" applyFont="1" applyBorder="1" applyAlignment="1">
      <alignment horizontal="left" wrapText="1"/>
    </xf>
    <xf numFmtId="0" fontId="4" fillId="0" borderId="41" xfId="0" applyFont="1" applyBorder="1" applyAlignment="1">
      <alignment horizontal="left" wrapText="1"/>
    </xf>
    <xf numFmtId="9" fontId="5" fillId="8" borderId="0" xfId="2" applyFont="1" applyFill="1" applyBorder="1" applyAlignment="1" applyProtection="1">
      <alignment horizontal="left"/>
      <protection locked="0"/>
    </xf>
    <xf numFmtId="0" fontId="18" fillId="0" borderId="73" xfId="0" applyFont="1" applyBorder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8" fillId="0" borderId="74" xfId="0" applyFont="1" applyBorder="1" applyAlignment="1">
      <alignment horizontal="left" vertical="center" wrapText="1"/>
    </xf>
    <xf numFmtId="173" fontId="40" fillId="0" borderId="0" xfId="0" applyNumberFormat="1" applyFont="1" applyAlignment="1">
      <alignment horizontal="center"/>
    </xf>
    <xf numFmtId="0" fontId="6" fillId="8" borderId="0" xfId="0" applyFont="1" applyFill="1" applyAlignment="1" applyProtection="1">
      <alignment horizontal="left"/>
      <protection locked="0"/>
    </xf>
    <xf numFmtId="0" fontId="6" fillId="8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40" fontId="3" fillId="0" borderId="0" xfId="1" applyFont="1" applyAlignment="1" applyProtection="1">
      <alignment horizontal="left" wrapText="1"/>
    </xf>
    <xf numFmtId="40" fontId="3" fillId="0" borderId="0" xfId="1" applyFont="1" applyAlignment="1" applyProtection="1">
      <alignment horizontal="left"/>
    </xf>
    <xf numFmtId="40" fontId="6" fillId="0" borderId="0" xfId="1" applyFont="1" applyAlignment="1" applyProtection="1">
      <alignment horizontal="left"/>
    </xf>
    <xf numFmtId="0" fontId="16" fillId="0" borderId="73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74" xfId="0" applyFont="1" applyBorder="1" applyAlignment="1">
      <alignment horizontal="left" vertical="center" wrapText="1"/>
    </xf>
    <xf numFmtId="0" fontId="13" fillId="0" borderId="70" xfId="0" applyFont="1" applyBorder="1" applyAlignment="1">
      <alignment horizontal="left"/>
    </xf>
    <xf numFmtId="0" fontId="13" fillId="0" borderId="71" xfId="0" applyFont="1" applyBorder="1" applyAlignment="1">
      <alignment horizontal="left"/>
    </xf>
    <xf numFmtId="0" fontId="13" fillId="0" borderId="72" xfId="0" applyFont="1" applyBorder="1" applyAlignment="1">
      <alignment horizontal="left"/>
    </xf>
    <xf numFmtId="40" fontId="18" fillId="0" borderId="71" xfId="1" applyFont="1" applyFill="1" applyBorder="1" applyAlignment="1" applyProtection="1">
      <alignment horizontal="left" vertical="center" wrapText="1"/>
    </xf>
    <xf numFmtId="40" fontId="18" fillId="0" borderId="0" xfId="1" applyFont="1" applyFill="1" applyBorder="1" applyAlignment="1" applyProtection="1">
      <alignment horizontal="left" vertical="center" wrapText="1"/>
    </xf>
    <xf numFmtId="0" fontId="2" fillId="8" borderId="20" xfId="0" applyFont="1" applyFill="1" applyBorder="1" applyAlignment="1" applyProtection="1">
      <alignment horizontal="left" vertical="top" wrapText="1"/>
      <protection locked="0"/>
    </xf>
    <xf numFmtId="0" fontId="2" fillId="8" borderId="1" xfId="0" applyFont="1" applyFill="1" applyBorder="1" applyAlignment="1" applyProtection="1">
      <alignment horizontal="left" vertical="top" wrapText="1"/>
      <protection locked="0"/>
    </xf>
    <xf numFmtId="0" fontId="2" fillId="8" borderId="21" xfId="0" applyFont="1" applyFill="1" applyBorder="1" applyAlignment="1" applyProtection="1">
      <alignment horizontal="left" vertical="top" wrapText="1"/>
      <protection locked="0"/>
    </xf>
    <xf numFmtId="0" fontId="4" fillId="8" borderId="0" xfId="0" applyFont="1" applyFill="1" applyAlignment="1" applyProtection="1">
      <alignment horizontal="left"/>
      <protection locked="0"/>
    </xf>
    <xf numFmtId="0" fontId="4" fillId="0" borderId="0" xfId="0" applyFont="1" applyAlignment="1">
      <alignment horizontal="left" vertical="top" wrapText="1"/>
    </xf>
    <xf numFmtId="0" fontId="6" fillId="8" borderId="20" xfId="0" applyFont="1" applyFill="1" applyBorder="1" applyAlignment="1" applyProtection="1">
      <alignment horizontal="left"/>
      <protection locked="0"/>
    </xf>
    <xf numFmtId="0" fontId="6" fillId="8" borderId="1" xfId="0" applyFont="1" applyFill="1" applyBorder="1" applyAlignment="1" applyProtection="1">
      <alignment horizontal="left"/>
      <protection locked="0"/>
    </xf>
    <xf numFmtId="0" fontId="6" fillId="8" borderId="21" xfId="0" applyFont="1" applyFill="1" applyBorder="1" applyAlignment="1" applyProtection="1">
      <alignment horizontal="left"/>
      <protection locked="0"/>
    </xf>
    <xf numFmtId="0" fontId="2" fillId="8" borderId="11" xfId="0" applyFont="1" applyFill="1" applyBorder="1" applyAlignment="1" applyProtection="1">
      <alignment horizontal="left" vertical="top" wrapText="1"/>
      <protection locked="0"/>
    </xf>
    <xf numFmtId="0" fontId="2" fillId="8" borderId="0" xfId="0" applyFont="1" applyFill="1" applyAlignment="1" applyProtection="1">
      <alignment horizontal="left" vertical="top" wrapText="1"/>
      <protection locked="0"/>
    </xf>
    <xf numFmtId="0" fontId="2" fillId="8" borderId="19" xfId="0" applyFont="1" applyFill="1" applyBorder="1" applyAlignment="1" applyProtection="1">
      <alignment horizontal="left" vertical="top" wrapText="1"/>
      <protection locked="0"/>
    </xf>
    <xf numFmtId="40" fontId="4" fillId="0" borderId="4" xfId="1" applyFont="1" applyBorder="1" applyAlignment="1">
      <alignment horizontal="left"/>
    </xf>
    <xf numFmtId="40" fontId="4" fillId="0" borderId="57" xfId="1" applyFont="1" applyBorder="1" applyAlignment="1">
      <alignment horizontal="left"/>
    </xf>
    <xf numFmtId="0" fontId="4" fillId="8" borderId="11" xfId="0" applyFont="1" applyFill="1" applyBorder="1" applyAlignment="1" applyProtection="1">
      <alignment horizontal="left"/>
      <protection locked="0"/>
    </xf>
    <xf numFmtId="0" fontId="4" fillId="8" borderId="19" xfId="0" applyFont="1" applyFill="1" applyBorder="1" applyAlignment="1" applyProtection="1">
      <alignment horizontal="left"/>
      <protection locked="0"/>
    </xf>
    <xf numFmtId="39" fontId="4" fillId="0" borderId="13" xfId="0" applyNumberFormat="1" applyFont="1" applyBorder="1" applyAlignment="1">
      <alignment horizontal="right" wrapText="1"/>
    </xf>
    <xf numFmtId="39" fontId="4" fillId="0" borderId="50" xfId="0" applyNumberFormat="1" applyFont="1" applyBorder="1" applyAlignment="1">
      <alignment horizontal="right" wrapText="1"/>
    </xf>
    <xf numFmtId="39" fontId="4" fillId="0" borderId="4" xfId="0" applyNumberFormat="1" applyFont="1" applyBorder="1" applyAlignment="1">
      <alignment horizontal="right" wrapText="1"/>
    </xf>
    <xf numFmtId="39" fontId="4" fillId="0" borderId="49" xfId="0" applyNumberFormat="1" applyFont="1" applyBorder="1" applyAlignment="1">
      <alignment horizontal="right" wrapText="1"/>
    </xf>
    <xf numFmtId="0" fontId="4" fillId="8" borderId="20" xfId="0" applyFont="1" applyFill="1" applyBorder="1" applyAlignment="1" applyProtection="1">
      <alignment horizontal="left"/>
      <protection locked="0"/>
    </xf>
    <xf numFmtId="0" fontId="4" fillId="8" borderId="1" xfId="0" applyFont="1" applyFill="1" applyBorder="1" applyAlignment="1" applyProtection="1">
      <alignment horizontal="left"/>
      <protection locked="0"/>
    </xf>
    <xf numFmtId="0" fontId="4" fillId="8" borderId="21" xfId="0" applyFont="1" applyFill="1" applyBorder="1" applyAlignment="1" applyProtection="1">
      <alignment horizontal="left"/>
      <protection locked="0"/>
    </xf>
    <xf numFmtId="0" fontId="4" fillId="0" borderId="17" xfId="0" applyFont="1" applyBorder="1" applyAlignment="1">
      <alignment horizontal="center"/>
    </xf>
    <xf numFmtId="0" fontId="4" fillId="0" borderId="7" xfId="0" applyFont="1" applyBorder="1" applyAlignment="1">
      <alignment horizontal="left" wrapText="1"/>
    </xf>
    <xf numFmtId="0" fontId="6" fillId="0" borderId="16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0" fontId="6" fillId="0" borderId="19" xfId="0" applyFont="1" applyBorder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6" fillId="0" borderId="49" xfId="0" applyFont="1" applyBorder="1" applyAlignment="1">
      <alignment horizontal="left" wrapText="1"/>
    </xf>
    <xf numFmtId="169" fontId="6" fillId="0" borderId="1" xfId="0" applyNumberFormat="1" applyFont="1" applyBorder="1" applyAlignment="1">
      <alignment horizontal="left"/>
    </xf>
    <xf numFmtId="0" fontId="12" fillId="4" borderId="26" xfId="0" applyFont="1" applyFill="1" applyBorder="1" applyAlignment="1">
      <alignment horizontal="left" vertical="top" wrapText="1"/>
    </xf>
    <xf numFmtId="0" fontId="22" fillId="0" borderId="0" xfId="3" applyFont="1" applyAlignment="1">
      <alignment horizontal="center" vertical="center"/>
    </xf>
    <xf numFmtId="0" fontId="10" fillId="5" borderId="0" xfId="0" applyFont="1" applyFill="1" applyAlignment="1">
      <alignment horizontal="left" wrapText="1"/>
    </xf>
    <xf numFmtId="0" fontId="4" fillId="2" borderId="0" xfId="0" applyFont="1" applyFill="1" applyAlignment="1" applyProtection="1">
      <alignment horizontal="left"/>
      <protection locked="0"/>
    </xf>
    <xf numFmtId="0" fontId="3" fillId="5" borderId="0" xfId="3" applyFont="1" applyFill="1" applyAlignment="1">
      <alignment horizontal="left" vertical="top" wrapText="1"/>
    </xf>
    <xf numFmtId="14" fontId="4" fillId="2" borderId="17" xfId="0" applyNumberFormat="1" applyFont="1" applyFill="1" applyBorder="1" applyAlignment="1" applyProtection="1">
      <alignment horizontal="left"/>
      <protection locked="0"/>
    </xf>
    <xf numFmtId="14" fontId="4" fillId="2" borderId="16" xfId="0" applyNumberFormat="1" applyFont="1" applyFill="1" applyBorder="1" applyAlignment="1" applyProtection="1">
      <alignment horizontal="left"/>
      <protection locked="0"/>
    </xf>
    <xf numFmtId="39" fontId="6" fillId="0" borderId="52" xfId="0" applyNumberFormat="1" applyFont="1" applyBorder="1" applyAlignment="1">
      <alignment horizontal="right" vertical="center" wrapText="1"/>
    </xf>
    <xf numFmtId="39" fontId="6" fillId="0" borderId="53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/>
    </xf>
    <xf numFmtId="0" fontId="12" fillId="4" borderId="26" xfId="0" applyFont="1" applyFill="1" applyBorder="1" applyAlignment="1">
      <alignment horizontal="left" wrapText="1"/>
    </xf>
    <xf numFmtId="0" fontId="3" fillId="5" borderId="0" xfId="3" applyFont="1" applyFill="1" applyAlignment="1">
      <alignment horizontal="left" wrapText="1"/>
    </xf>
    <xf numFmtId="14" fontId="4" fillId="8" borderId="17" xfId="0" applyNumberFormat="1" applyFont="1" applyFill="1" applyBorder="1" applyAlignment="1" applyProtection="1">
      <alignment horizontal="left"/>
      <protection locked="0"/>
    </xf>
    <xf numFmtId="14" fontId="4" fillId="8" borderId="16" xfId="0" applyNumberFormat="1" applyFont="1" applyFill="1" applyBorder="1" applyAlignment="1" applyProtection="1">
      <alignment horizontal="left"/>
      <protection locked="0"/>
    </xf>
    <xf numFmtId="0" fontId="4" fillId="8" borderId="0" xfId="0" applyFont="1" applyFill="1" applyAlignment="1" applyProtection="1">
      <alignment horizontal="center"/>
      <protection locked="0"/>
    </xf>
    <xf numFmtId="0" fontId="4" fillId="8" borderId="19" xfId="0" applyFont="1" applyFill="1" applyBorder="1" applyAlignment="1" applyProtection="1">
      <alignment horizontal="center"/>
      <protection locked="0"/>
    </xf>
    <xf numFmtId="40" fontId="2" fillId="8" borderId="60" xfId="1" applyFont="1" applyFill="1" applyBorder="1" applyAlignment="1" applyProtection="1">
      <alignment horizontal="right"/>
      <protection locked="0"/>
    </xf>
    <xf numFmtId="40" fontId="2" fillId="8" borderId="58" xfId="1" applyFont="1" applyFill="1" applyBorder="1" applyAlignment="1" applyProtection="1">
      <alignment horizontal="right"/>
      <protection locked="0"/>
    </xf>
    <xf numFmtId="0" fontId="2" fillId="2" borderId="1" xfId="0" applyFont="1" applyFill="1" applyBorder="1" applyAlignment="1" applyProtection="1">
      <alignment horizontal="left"/>
      <protection locked="0"/>
    </xf>
    <xf numFmtId="0" fontId="2" fillId="2" borderId="60" xfId="0" applyFont="1" applyFill="1" applyBorder="1" applyAlignment="1" applyProtection="1">
      <alignment horizontal="left"/>
      <protection locked="0"/>
    </xf>
    <xf numFmtId="0" fontId="19" fillId="0" borderId="7" xfId="0" applyFont="1" applyBorder="1" applyAlignment="1">
      <alignment horizontal="left" vertical="center"/>
    </xf>
    <xf numFmtId="0" fontId="19" fillId="0" borderId="17" xfId="0" applyFont="1" applyBorder="1" applyAlignment="1">
      <alignment horizontal="left" vertical="center"/>
    </xf>
    <xf numFmtId="0" fontId="19" fillId="0" borderId="28" xfId="0" applyFont="1" applyBorder="1" applyAlignment="1">
      <alignment horizontal="left" vertical="center" wrapText="1"/>
    </xf>
    <xf numFmtId="0" fontId="19" fillId="0" borderId="2" xfId="0" applyFont="1" applyBorder="1" applyAlignment="1">
      <alignment horizontal="left" vertical="center" wrapText="1"/>
    </xf>
    <xf numFmtId="0" fontId="19" fillId="0" borderId="5" xfId="0" applyFont="1" applyBorder="1" applyAlignment="1">
      <alignment horizontal="left" vertical="center" wrapText="1"/>
    </xf>
    <xf numFmtId="0" fontId="19" fillId="0" borderId="16" xfId="0" applyFont="1" applyBorder="1" applyAlignment="1">
      <alignment horizontal="left" vertical="center" wrapText="1"/>
    </xf>
    <xf numFmtId="0" fontId="19" fillId="0" borderId="19" xfId="0" applyFont="1" applyBorder="1" applyAlignment="1">
      <alignment horizontal="left" vertical="center" wrapText="1"/>
    </xf>
    <xf numFmtId="0" fontId="19" fillId="0" borderId="49" xfId="0" applyFont="1" applyBorder="1" applyAlignment="1">
      <alignment horizontal="left" vertical="center" wrapText="1"/>
    </xf>
    <xf numFmtId="181" fontId="2" fillId="0" borderId="0" xfId="0" applyNumberFormat="1" applyFont="1" applyAlignment="1">
      <alignment horizontal="left"/>
    </xf>
    <xf numFmtId="0" fontId="19" fillId="0" borderId="7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 vertical="center" wrapText="1"/>
    </xf>
    <xf numFmtId="0" fontId="20" fillId="0" borderId="4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0" fontId="23" fillId="8" borderId="0" xfId="0" applyFont="1" applyFill="1" applyAlignment="1">
      <alignment horizontal="left"/>
    </xf>
    <xf numFmtId="0" fontId="24" fillId="8" borderId="0" xfId="0" applyFont="1" applyFill="1" applyAlignment="1">
      <alignment horizontal="left"/>
    </xf>
    <xf numFmtId="0" fontId="2" fillId="8" borderId="0" xfId="0" applyFont="1" applyFill="1" applyAlignment="1" applyProtection="1">
      <alignment horizontal="left"/>
      <protection locked="0"/>
    </xf>
    <xf numFmtId="9" fontId="2" fillId="8" borderId="0" xfId="2" applyFont="1" applyFill="1" applyAlignment="1">
      <alignment horizontal="left"/>
    </xf>
    <xf numFmtId="0" fontId="2" fillId="8" borderId="0" xfId="0" applyFont="1" applyFill="1" applyAlignment="1">
      <alignment horizontal="left"/>
    </xf>
    <xf numFmtId="14" fontId="2" fillId="8" borderId="0" xfId="0" applyNumberFormat="1" applyFont="1" applyFill="1" applyAlignment="1">
      <alignment horizontal="left"/>
    </xf>
    <xf numFmtId="169" fontId="2" fillId="8" borderId="0" xfId="0" applyNumberFormat="1" applyFont="1" applyFill="1" applyAlignment="1">
      <alignment horizontal="left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horizontal="left" wrapText="1"/>
    </xf>
    <xf numFmtId="177" fontId="25" fillId="0" borderId="0" xfId="0" applyNumberFormat="1" applyFont="1" applyAlignment="1">
      <alignment horizontal="right"/>
    </xf>
    <xf numFmtId="0" fontId="25" fillId="0" borderId="0" xfId="0" applyFont="1" applyAlignment="1">
      <alignment horizontal="right"/>
    </xf>
    <xf numFmtId="0" fontId="23" fillId="0" borderId="0" xfId="0" applyFont="1" applyAlignment="1">
      <alignment horizontal="left" vertical="top" wrapText="1"/>
    </xf>
    <xf numFmtId="0" fontId="2" fillId="8" borderId="0" xfId="0" applyFont="1" applyFill="1" applyAlignment="1">
      <alignment horizontal="left" vertical="top" wrapText="1"/>
    </xf>
  </cellXfs>
  <cellStyles count="5">
    <cellStyle name="Komma" xfId="1" builtinId="3"/>
    <cellStyle name="Link" xfId="3" builtinId="8"/>
    <cellStyle name="PrintWhite" xfId="4" xr:uid="{00000000-0005-0000-0000-000002000000}"/>
    <cellStyle name="Prozent" xfId="2" builtinId="5"/>
    <cellStyle name="Standard" xfId="0" builtinId="0"/>
  </cellStyles>
  <dxfs count="567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none">
          <bgColor auto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99"/>
          <bgColor rgb="FFFFFF9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BD"/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none">
          <bgColor auto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99"/>
          <bgColor rgb="FFFFFF9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BD"/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none">
          <bgColor auto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99"/>
          <bgColor rgb="FFFFFF9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BD"/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none">
          <bgColor auto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99"/>
          <bgColor rgb="FFFFFF9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BD"/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none">
          <bgColor auto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99"/>
          <bgColor rgb="FFFFFF9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BD"/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none">
          <bgColor auto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99"/>
          <bgColor rgb="FFFFFF9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BD"/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none">
          <bgColor auto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99"/>
          <bgColor rgb="FFFFFF9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BD"/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none">
          <bgColor auto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99"/>
          <bgColor rgb="FFFFFF9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BD"/>
          <bgColor rgb="FFFFFF99"/>
        </patternFill>
      </fill>
    </dxf>
    <dxf>
      <fill>
        <patternFill>
          <bgColor theme="6" tint="0.59996337778862885"/>
        </patternFill>
      </fill>
    </dxf>
    <dxf>
      <font>
        <b/>
        <i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none">
          <bgColor auto="1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99"/>
          <bgColor rgb="FFFFFF99"/>
        </patternFill>
      </fill>
    </dxf>
    <dxf>
      <font>
        <b/>
        <i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 patternType="solid"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b val="0"/>
        <i val="0"/>
        <color auto="1"/>
      </font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b val="0"/>
        <i val="0"/>
      </font>
      <fill>
        <patternFill>
          <bgColor rgb="FFFFFF99"/>
        </patternFill>
      </fill>
    </dxf>
    <dxf>
      <fill>
        <patternFill>
          <fgColor rgb="FFFFFFBD"/>
          <bgColor rgb="FFFFFF99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FFFFBD"/>
      <color rgb="FFE97FA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133350</xdr:rowOff>
    </xdr:from>
    <xdr:to>
      <xdr:col>5</xdr:col>
      <xdr:colOff>403225</xdr:colOff>
      <xdr:row>35</xdr:row>
      <xdr:rowOff>206072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8029575"/>
          <a:ext cx="3295650" cy="758522"/>
        </a:xfrm>
        <a:prstGeom prst="rect">
          <a:avLst/>
        </a:prstGeom>
      </xdr:spPr>
    </xdr:pic>
    <xdr:clientData/>
  </xdr:twoCellAnchor>
  <xdr:twoCellAnchor editAs="oneCell">
    <xdr:from>
      <xdr:col>1</xdr:col>
      <xdr:colOff>28576</xdr:colOff>
      <xdr:row>32</xdr:row>
      <xdr:rowOff>156476</xdr:rowOff>
    </xdr:from>
    <xdr:to>
      <xdr:col>5</xdr:col>
      <xdr:colOff>553417</xdr:colOff>
      <xdr:row>36</xdr:row>
      <xdr:rowOff>133350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68874F4-3434-487D-B517-03618B16B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6376" y="8049526"/>
          <a:ext cx="3541091" cy="89127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507439</xdr:colOff>
      <xdr:row>13</xdr:row>
      <xdr:rowOff>133350</xdr:rowOff>
    </xdr:from>
    <xdr:to>
      <xdr:col>14</xdr:col>
      <xdr:colOff>88972</xdr:colOff>
      <xdr:row>15</xdr:row>
      <xdr:rowOff>104775</xdr:rowOff>
    </xdr:to>
    <xdr:sp macro="" textlink="">
      <xdr:nvSpPr>
        <xdr:cNvPr id="4" name="Rechteckiger Pfeil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 flipV="1">
          <a:off x="11918389" y="2076450"/>
          <a:ext cx="400683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7" name="Rechteckiger Pfeil 3">
          <a:extLst>
            <a:ext uri="{FF2B5EF4-FFF2-40B4-BE49-F238E27FC236}">
              <a16:creationId xmlns:a16="http://schemas.microsoft.com/office/drawing/2014/main" id="{D32BFE31-15F1-1743-01CC-16F0E2B323AF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10" name="Rechteckiger Pfeil 3">
          <a:extLst>
            <a:ext uri="{FF2B5EF4-FFF2-40B4-BE49-F238E27FC236}">
              <a16:creationId xmlns:a16="http://schemas.microsoft.com/office/drawing/2014/main" id="{221F9074-0AAA-4FCF-F999-2A545C71541F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13" name="Rechteckiger Pfeil 3">
          <a:extLst>
            <a:ext uri="{FF2B5EF4-FFF2-40B4-BE49-F238E27FC236}">
              <a16:creationId xmlns:a16="http://schemas.microsoft.com/office/drawing/2014/main" id="{00F9B43A-1741-722D-1DCA-6895D92B9D0C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260345</xdr:colOff>
      <xdr:row>10</xdr:row>
      <xdr:rowOff>34925</xdr:rowOff>
    </xdr:from>
    <xdr:to>
      <xdr:col>16</xdr:col>
      <xdr:colOff>965198</xdr:colOff>
      <xdr:row>16</xdr:row>
      <xdr:rowOff>28575</xdr:rowOff>
    </xdr:to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2F90DFF9-34C4-4969-8DE7-0353C2418628}"/>
            </a:ext>
          </a:extLst>
        </xdr:cNvPr>
        <xdr:cNvSpPr txBox="1"/>
      </xdr:nvSpPr>
      <xdr:spPr>
        <a:xfrm>
          <a:off x="12223745" y="1492250"/>
          <a:ext cx="3276603" cy="9842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Contributions d'assurances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sociales (employé/e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 Signalement des erreurs / remarques</a:t>
          </a:r>
        </a:p>
        <a:p>
          <a:endParaRPr lang="de-CH" sz="1000" baseline="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Apparaissent à droite du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décompte de salaire!</a:t>
          </a:r>
          <a:endParaRPr lang="de-CH" sz="1000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617468</xdr:colOff>
      <xdr:row>13</xdr:row>
      <xdr:rowOff>19237</xdr:rowOff>
    </xdr:from>
    <xdr:to>
      <xdr:col>14</xdr:col>
      <xdr:colOff>176392</xdr:colOff>
      <xdr:row>14</xdr:row>
      <xdr:rowOff>151940</xdr:rowOff>
    </xdr:to>
    <xdr:sp macro="" textlink="">
      <xdr:nvSpPr>
        <xdr:cNvPr id="18" name="Rechteckiger Pfeil 3">
          <a:extLst>
            <a:ext uri="{FF2B5EF4-FFF2-40B4-BE49-F238E27FC236}">
              <a16:creationId xmlns:a16="http://schemas.microsoft.com/office/drawing/2014/main" id="{535D20D2-225F-4AAB-A838-6A3BAD14A2FE}"/>
            </a:ext>
          </a:extLst>
        </xdr:cNvPr>
        <xdr:cNvSpPr/>
      </xdr:nvSpPr>
      <xdr:spPr>
        <a:xfrm flipV="1">
          <a:off x="12568168" y="1975037"/>
          <a:ext cx="416174" cy="291453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46</xdr:row>
          <xdr:rowOff>31750</xdr:rowOff>
        </xdr:from>
        <xdr:to>
          <xdr:col>0</xdr:col>
          <xdr:colOff>190500</xdr:colOff>
          <xdr:row>47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B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46</xdr:row>
          <xdr:rowOff>184150</xdr:rowOff>
        </xdr:from>
        <xdr:to>
          <xdr:col>0</xdr:col>
          <xdr:colOff>285750</xdr:colOff>
          <xdr:row>48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B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1</xdr:col>
      <xdr:colOff>1142999</xdr:colOff>
      <xdr:row>4</xdr:row>
      <xdr:rowOff>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390774" cy="6477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1142999</xdr:colOff>
      <xdr:row>4</xdr:row>
      <xdr:rowOff>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CB616ACC-FC27-47DF-A097-DF7309D5A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451099" cy="635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46</xdr:row>
          <xdr:rowOff>31750</xdr:rowOff>
        </xdr:from>
        <xdr:to>
          <xdr:col>0</xdr:col>
          <xdr:colOff>190500</xdr:colOff>
          <xdr:row>47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B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46</xdr:row>
          <xdr:rowOff>184150</xdr:rowOff>
        </xdr:from>
        <xdr:to>
          <xdr:col>0</xdr:col>
          <xdr:colOff>285750</xdr:colOff>
          <xdr:row>48</xdr:row>
          <xdr:rowOff>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B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46</xdr:row>
          <xdr:rowOff>31750</xdr:rowOff>
        </xdr:from>
        <xdr:to>
          <xdr:col>0</xdr:col>
          <xdr:colOff>190500</xdr:colOff>
          <xdr:row>47</xdr:row>
          <xdr:rowOff>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B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46</xdr:row>
          <xdr:rowOff>184150</xdr:rowOff>
        </xdr:from>
        <xdr:to>
          <xdr:col>0</xdr:col>
          <xdr:colOff>285750</xdr:colOff>
          <xdr:row>48</xdr:row>
          <xdr:rowOff>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B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14967</xdr:colOff>
      <xdr:row>0</xdr:row>
      <xdr:rowOff>19050</xdr:rowOff>
    </xdr:from>
    <xdr:to>
      <xdr:col>3</xdr:col>
      <xdr:colOff>152400</xdr:colOff>
      <xdr:row>4</xdr:row>
      <xdr:rowOff>1903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967" y="19050"/>
          <a:ext cx="2432958" cy="659128"/>
        </a:xfrm>
        <a:prstGeom prst="rect">
          <a:avLst/>
        </a:prstGeom>
      </xdr:spPr>
    </xdr:pic>
    <xdr:clientData/>
  </xdr:twoCellAnchor>
  <xdr:twoCellAnchor editAs="oneCell">
    <xdr:from>
      <xdr:col>0</xdr:col>
      <xdr:colOff>14967</xdr:colOff>
      <xdr:row>0</xdr:row>
      <xdr:rowOff>19050</xdr:rowOff>
    </xdr:from>
    <xdr:to>
      <xdr:col>3</xdr:col>
      <xdr:colOff>152400</xdr:colOff>
      <xdr:row>4</xdr:row>
      <xdr:rowOff>1903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58D0865-7249-4FD9-8F5D-B84BF4314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967" y="19050"/>
          <a:ext cx="2544083" cy="64960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166687</xdr:colOff>
      <xdr:row>47</xdr:row>
      <xdr:rowOff>39687</xdr:rowOff>
    </xdr:from>
    <xdr:to>
      <xdr:col>14</xdr:col>
      <xdr:colOff>381000</xdr:colOff>
      <xdr:row>47</xdr:row>
      <xdr:rowOff>142874</xdr:rowOff>
    </xdr:to>
    <xdr:sp macro="" textlink="">
      <xdr:nvSpPr>
        <xdr:cNvPr id="2" name="Pfeil nach rechts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4826000" y="5802312"/>
          <a:ext cx="214313" cy="103187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166687</xdr:colOff>
      <xdr:row>47</xdr:row>
      <xdr:rowOff>39687</xdr:rowOff>
    </xdr:from>
    <xdr:to>
      <xdr:col>14</xdr:col>
      <xdr:colOff>381000</xdr:colOff>
      <xdr:row>47</xdr:row>
      <xdr:rowOff>142874</xdr:rowOff>
    </xdr:to>
    <xdr:sp macro="" textlink="">
      <xdr:nvSpPr>
        <xdr:cNvPr id="2" name="Pfeil nach rechts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4843462" y="6678612"/>
          <a:ext cx="214313" cy="103187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14</xdr:col>
      <xdr:colOff>166687</xdr:colOff>
      <xdr:row>47</xdr:row>
      <xdr:rowOff>39687</xdr:rowOff>
    </xdr:from>
    <xdr:to>
      <xdr:col>14</xdr:col>
      <xdr:colOff>381000</xdr:colOff>
      <xdr:row>47</xdr:row>
      <xdr:rowOff>142874</xdr:rowOff>
    </xdr:to>
    <xdr:sp macro="" textlink="">
      <xdr:nvSpPr>
        <xdr:cNvPr id="3" name="Pfeil nach rechts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/>
      </xdr:nvSpPr>
      <xdr:spPr>
        <a:xfrm>
          <a:off x="4843462" y="6678612"/>
          <a:ext cx="214313" cy="103187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166687</xdr:colOff>
      <xdr:row>47</xdr:row>
      <xdr:rowOff>39687</xdr:rowOff>
    </xdr:from>
    <xdr:to>
      <xdr:col>14</xdr:col>
      <xdr:colOff>381000</xdr:colOff>
      <xdr:row>47</xdr:row>
      <xdr:rowOff>142874</xdr:rowOff>
    </xdr:to>
    <xdr:sp macro="" textlink="">
      <xdr:nvSpPr>
        <xdr:cNvPr id="2" name="Pfeil nach rechts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4843462" y="6678612"/>
          <a:ext cx="214313" cy="103187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166687</xdr:colOff>
      <xdr:row>47</xdr:row>
      <xdr:rowOff>39687</xdr:rowOff>
    </xdr:from>
    <xdr:to>
      <xdr:col>14</xdr:col>
      <xdr:colOff>381000</xdr:colOff>
      <xdr:row>47</xdr:row>
      <xdr:rowOff>142874</xdr:rowOff>
    </xdr:to>
    <xdr:sp macro="" textlink="">
      <xdr:nvSpPr>
        <xdr:cNvPr id="2" name="Pfeil nach rechts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4843462" y="6678612"/>
          <a:ext cx="214313" cy="103187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166687</xdr:colOff>
      <xdr:row>47</xdr:row>
      <xdr:rowOff>39687</xdr:rowOff>
    </xdr:from>
    <xdr:to>
      <xdr:col>14</xdr:col>
      <xdr:colOff>381000</xdr:colOff>
      <xdr:row>47</xdr:row>
      <xdr:rowOff>142874</xdr:rowOff>
    </xdr:to>
    <xdr:sp macro="" textlink="">
      <xdr:nvSpPr>
        <xdr:cNvPr id="2" name="Pfeil nach rechts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/>
      </xdr:nvSpPr>
      <xdr:spPr>
        <a:xfrm>
          <a:off x="4843462" y="6678612"/>
          <a:ext cx="214313" cy="103187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166687</xdr:colOff>
      <xdr:row>47</xdr:row>
      <xdr:rowOff>39687</xdr:rowOff>
    </xdr:from>
    <xdr:to>
      <xdr:col>14</xdr:col>
      <xdr:colOff>381000</xdr:colOff>
      <xdr:row>47</xdr:row>
      <xdr:rowOff>142874</xdr:rowOff>
    </xdr:to>
    <xdr:sp macro="" textlink="">
      <xdr:nvSpPr>
        <xdr:cNvPr id="2" name="Pfeil nach rechts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4843462" y="6678612"/>
          <a:ext cx="214313" cy="103187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166687</xdr:colOff>
      <xdr:row>47</xdr:row>
      <xdr:rowOff>39687</xdr:rowOff>
    </xdr:from>
    <xdr:to>
      <xdr:col>14</xdr:col>
      <xdr:colOff>381000</xdr:colOff>
      <xdr:row>47</xdr:row>
      <xdr:rowOff>142874</xdr:rowOff>
    </xdr:to>
    <xdr:sp macro="" textlink="">
      <xdr:nvSpPr>
        <xdr:cNvPr id="2" name="Pfeil nach rechts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/>
      </xdr:nvSpPr>
      <xdr:spPr>
        <a:xfrm>
          <a:off x="4843462" y="6678612"/>
          <a:ext cx="214313" cy="103187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257170</xdr:colOff>
      <xdr:row>10</xdr:row>
      <xdr:rowOff>34925</xdr:rowOff>
    </xdr:from>
    <xdr:to>
      <xdr:col>16</xdr:col>
      <xdr:colOff>962023</xdr:colOff>
      <xdr:row>16</xdr:row>
      <xdr:rowOff>25400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95DD67D2-DAF5-48EF-92A0-017005DCE145}"/>
            </a:ext>
          </a:extLst>
        </xdr:cNvPr>
        <xdr:cNvSpPr txBox="1"/>
      </xdr:nvSpPr>
      <xdr:spPr>
        <a:xfrm>
          <a:off x="12150720" y="1489075"/>
          <a:ext cx="3276603" cy="968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Contributions d'assurances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sociales (employé/e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 Signalement des erreurs / remarques</a:t>
          </a:r>
        </a:p>
        <a:p>
          <a:endParaRPr lang="de-CH" sz="1000" baseline="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Apparaissent à droite du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décompte de salaire!</a:t>
          </a:r>
          <a:endParaRPr lang="de-CH" sz="1000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617468</xdr:colOff>
      <xdr:row>13</xdr:row>
      <xdr:rowOff>19237</xdr:rowOff>
    </xdr:from>
    <xdr:to>
      <xdr:col>14</xdr:col>
      <xdr:colOff>176392</xdr:colOff>
      <xdr:row>14</xdr:row>
      <xdr:rowOff>151940</xdr:rowOff>
    </xdr:to>
    <xdr:sp macro="" textlink="">
      <xdr:nvSpPr>
        <xdr:cNvPr id="9" name="Rechteckiger Pfeil 3">
          <a:extLst>
            <a:ext uri="{FF2B5EF4-FFF2-40B4-BE49-F238E27FC236}">
              <a16:creationId xmlns:a16="http://schemas.microsoft.com/office/drawing/2014/main" id="{02AC2D9A-AA0B-EBEE-B077-7CC0D371CDC0}"/>
            </a:ext>
          </a:extLst>
        </xdr:cNvPr>
        <xdr:cNvSpPr/>
      </xdr:nvSpPr>
      <xdr:spPr>
        <a:xfrm flipV="1">
          <a:off x="12568168" y="1975037"/>
          <a:ext cx="416174" cy="291453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166687</xdr:colOff>
      <xdr:row>47</xdr:row>
      <xdr:rowOff>39687</xdr:rowOff>
    </xdr:from>
    <xdr:to>
      <xdr:col>14</xdr:col>
      <xdr:colOff>381000</xdr:colOff>
      <xdr:row>47</xdr:row>
      <xdr:rowOff>142874</xdr:rowOff>
    </xdr:to>
    <xdr:sp macro="" textlink="">
      <xdr:nvSpPr>
        <xdr:cNvPr id="2" name="Pfeil nach rechts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4843462" y="6678612"/>
          <a:ext cx="214313" cy="103187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166687</xdr:colOff>
      <xdr:row>47</xdr:row>
      <xdr:rowOff>39687</xdr:rowOff>
    </xdr:from>
    <xdr:to>
      <xdr:col>14</xdr:col>
      <xdr:colOff>381000</xdr:colOff>
      <xdr:row>47</xdr:row>
      <xdr:rowOff>142874</xdr:rowOff>
    </xdr:to>
    <xdr:sp macro="" textlink="">
      <xdr:nvSpPr>
        <xdr:cNvPr id="2" name="Pfeil nach rechts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/>
      </xdr:nvSpPr>
      <xdr:spPr>
        <a:xfrm>
          <a:off x="4843462" y="6678612"/>
          <a:ext cx="214313" cy="103187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507440</xdr:colOff>
      <xdr:row>13</xdr:row>
      <xdr:rowOff>133350</xdr:rowOff>
    </xdr:from>
    <xdr:to>
      <xdr:col>14</xdr:col>
      <xdr:colOff>88973</xdr:colOff>
      <xdr:row>15</xdr:row>
      <xdr:rowOff>104775</xdr:rowOff>
    </xdr:to>
    <xdr:sp macro="" textlink="">
      <xdr:nvSpPr>
        <xdr:cNvPr id="4" name="Rechteckiger Pfeil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 flipV="1">
          <a:off x="11918390" y="2076450"/>
          <a:ext cx="400683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507882</xdr:colOff>
      <xdr:row>13</xdr:row>
      <xdr:rowOff>133350</xdr:rowOff>
    </xdr:from>
    <xdr:to>
      <xdr:col>14</xdr:col>
      <xdr:colOff>89791</xdr:colOff>
      <xdr:row>15</xdr:row>
      <xdr:rowOff>104775</xdr:rowOff>
    </xdr:to>
    <xdr:sp macro="" textlink="">
      <xdr:nvSpPr>
        <xdr:cNvPr id="7" name="Rechteckiger Pfeil 3">
          <a:extLst>
            <a:ext uri="{FF2B5EF4-FFF2-40B4-BE49-F238E27FC236}">
              <a16:creationId xmlns:a16="http://schemas.microsoft.com/office/drawing/2014/main" id="{A55E3169-04F8-789F-45C1-A78B0C234685}"/>
            </a:ext>
          </a:extLst>
        </xdr:cNvPr>
        <xdr:cNvSpPr/>
      </xdr:nvSpPr>
      <xdr:spPr>
        <a:xfrm flipV="1">
          <a:off x="11918832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257170</xdr:colOff>
      <xdr:row>10</xdr:row>
      <xdr:rowOff>34925</xdr:rowOff>
    </xdr:from>
    <xdr:to>
      <xdr:col>16</xdr:col>
      <xdr:colOff>962023</xdr:colOff>
      <xdr:row>16</xdr:row>
      <xdr:rowOff>25400</xdr:rowOff>
    </xdr:to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D1D380A6-BEDF-43AD-BE97-E97CE7299FFD}"/>
            </a:ext>
          </a:extLst>
        </xdr:cNvPr>
        <xdr:cNvSpPr txBox="1"/>
      </xdr:nvSpPr>
      <xdr:spPr>
        <a:xfrm>
          <a:off x="12207870" y="1489075"/>
          <a:ext cx="3276603" cy="968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Contributions d'assurances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sociales (employé/e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 Signalement des erreurs / remarques</a:t>
          </a:r>
        </a:p>
        <a:p>
          <a:endParaRPr lang="de-CH" sz="1000" baseline="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Apparaissent à droite du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décompte de salaire!</a:t>
          </a:r>
          <a:endParaRPr lang="de-CH" sz="1000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617468</xdr:colOff>
      <xdr:row>13</xdr:row>
      <xdr:rowOff>19237</xdr:rowOff>
    </xdr:from>
    <xdr:to>
      <xdr:col>14</xdr:col>
      <xdr:colOff>176392</xdr:colOff>
      <xdr:row>14</xdr:row>
      <xdr:rowOff>151940</xdr:rowOff>
    </xdr:to>
    <xdr:sp macro="" textlink="">
      <xdr:nvSpPr>
        <xdr:cNvPr id="9" name="Rechteckiger Pfeil 3">
          <a:extLst>
            <a:ext uri="{FF2B5EF4-FFF2-40B4-BE49-F238E27FC236}">
              <a16:creationId xmlns:a16="http://schemas.microsoft.com/office/drawing/2014/main" id="{71940D0F-FF80-487C-8B42-16C025D0256E}"/>
            </a:ext>
          </a:extLst>
        </xdr:cNvPr>
        <xdr:cNvSpPr/>
      </xdr:nvSpPr>
      <xdr:spPr>
        <a:xfrm flipV="1">
          <a:off x="12568168" y="1975037"/>
          <a:ext cx="416174" cy="291453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507440</xdr:colOff>
      <xdr:row>13</xdr:row>
      <xdr:rowOff>133350</xdr:rowOff>
    </xdr:from>
    <xdr:to>
      <xdr:col>14</xdr:col>
      <xdr:colOff>88973</xdr:colOff>
      <xdr:row>15</xdr:row>
      <xdr:rowOff>104775</xdr:rowOff>
    </xdr:to>
    <xdr:sp macro="" textlink="">
      <xdr:nvSpPr>
        <xdr:cNvPr id="4" name="Rechteckiger Pfeil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 flipV="1">
          <a:off x="11918390" y="2076450"/>
          <a:ext cx="400683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507882</xdr:colOff>
      <xdr:row>13</xdr:row>
      <xdr:rowOff>133350</xdr:rowOff>
    </xdr:from>
    <xdr:to>
      <xdr:col>14</xdr:col>
      <xdr:colOff>89791</xdr:colOff>
      <xdr:row>15</xdr:row>
      <xdr:rowOff>104775</xdr:rowOff>
    </xdr:to>
    <xdr:sp macro="" textlink="">
      <xdr:nvSpPr>
        <xdr:cNvPr id="7" name="Rechteckiger Pfeil 3">
          <a:extLst>
            <a:ext uri="{FF2B5EF4-FFF2-40B4-BE49-F238E27FC236}">
              <a16:creationId xmlns:a16="http://schemas.microsoft.com/office/drawing/2014/main" id="{CE97C34A-7E14-DECE-3606-BDD4A27EABED}"/>
            </a:ext>
          </a:extLst>
        </xdr:cNvPr>
        <xdr:cNvSpPr/>
      </xdr:nvSpPr>
      <xdr:spPr>
        <a:xfrm flipV="1">
          <a:off x="11918832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507882</xdr:colOff>
      <xdr:row>13</xdr:row>
      <xdr:rowOff>133350</xdr:rowOff>
    </xdr:from>
    <xdr:to>
      <xdr:col>14</xdr:col>
      <xdr:colOff>89791</xdr:colOff>
      <xdr:row>15</xdr:row>
      <xdr:rowOff>104775</xdr:rowOff>
    </xdr:to>
    <xdr:sp macro="" textlink="">
      <xdr:nvSpPr>
        <xdr:cNvPr id="10" name="Rechteckiger Pfeil 3">
          <a:extLst>
            <a:ext uri="{FF2B5EF4-FFF2-40B4-BE49-F238E27FC236}">
              <a16:creationId xmlns:a16="http://schemas.microsoft.com/office/drawing/2014/main" id="{56947350-67FA-D012-1C5E-7425F4CA74E9}"/>
            </a:ext>
          </a:extLst>
        </xdr:cNvPr>
        <xdr:cNvSpPr/>
      </xdr:nvSpPr>
      <xdr:spPr>
        <a:xfrm flipV="1">
          <a:off x="11918832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13" name="Rechteckiger Pfeil 3">
          <a:extLst>
            <a:ext uri="{FF2B5EF4-FFF2-40B4-BE49-F238E27FC236}">
              <a16:creationId xmlns:a16="http://schemas.microsoft.com/office/drawing/2014/main" id="{DDC566A7-344E-7506-593F-B13B156EA6C3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16" name="Rechteckiger Pfeil 3">
          <a:extLst>
            <a:ext uri="{FF2B5EF4-FFF2-40B4-BE49-F238E27FC236}">
              <a16:creationId xmlns:a16="http://schemas.microsoft.com/office/drawing/2014/main" id="{D9886D45-DBC2-C834-AA1E-7BBB78FE82F1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257170</xdr:colOff>
      <xdr:row>10</xdr:row>
      <xdr:rowOff>34925</xdr:rowOff>
    </xdr:from>
    <xdr:to>
      <xdr:col>16</xdr:col>
      <xdr:colOff>962023</xdr:colOff>
      <xdr:row>16</xdr:row>
      <xdr:rowOff>25400</xdr:rowOff>
    </xdr:to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C5065661-1A1A-489D-9587-1C721FDC19FA}"/>
            </a:ext>
          </a:extLst>
        </xdr:cNvPr>
        <xdr:cNvSpPr txBox="1"/>
      </xdr:nvSpPr>
      <xdr:spPr>
        <a:xfrm>
          <a:off x="12207870" y="1489075"/>
          <a:ext cx="3276603" cy="968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Contributions d'assurances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sociales (employé/e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 Signalement des erreurs / remarques</a:t>
          </a:r>
        </a:p>
        <a:p>
          <a:endParaRPr lang="de-CH" sz="1000" baseline="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Apparaissent à droite du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décompte de salaire!</a:t>
          </a:r>
          <a:endParaRPr lang="de-CH" sz="1000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617468</xdr:colOff>
      <xdr:row>13</xdr:row>
      <xdr:rowOff>19237</xdr:rowOff>
    </xdr:from>
    <xdr:to>
      <xdr:col>14</xdr:col>
      <xdr:colOff>176392</xdr:colOff>
      <xdr:row>14</xdr:row>
      <xdr:rowOff>151940</xdr:rowOff>
    </xdr:to>
    <xdr:sp macro="" textlink="">
      <xdr:nvSpPr>
        <xdr:cNvPr id="18" name="Rechteckiger Pfeil 3">
          <a:extLst>
            <a:ext uri="{FF2B5EF4-FFF2-40B4-BE49-F238E27FC236}">
              <a16:creationId xmlns:a16="http://schemas.microsoft.com/office/drawing/2014/main" id="{0E1F4912-4A22-4969-9C20-A634D75D8852}"/>
            </a:ext>
          </a:extLst>
        </xdr:cNvPr>
        <xdr:cNvSpPr/>
      </xdr:nvSpPr>
      <xdr:spPr>
        <a:xfrm flipV="1">
          <a:off x="12568168" y="1975037"/>
          <a:ext cx="416174" cy="291453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507440</xdr:colOff>
      <xdr:row>13</xdr:row>
      <xdr:rowOff>133350</xdr:rowOff>
    </xdr:from>
    <xdr:to>
      <xdr:col>14</xdr:col>
      <xdr:colOff>88973</xdr:colOff>
      <xdr:row>15</xdr:row>
      <xdr:rowOff>104775</xdr:rowOff>
    </xdr:to>
    <xdr:sp macro="" textlink="">
      <xdr:nvSpPr>
        <xdr:cNvPr id="4" name="Rechteckiger Pfeil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 flipV="1">
          <a:off x="11918390" y="2076450"/>
          <a:ext cx="400683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7" name="Rechteckiger Pfeil 3">
          <a:extLst>
            <a:ext uri="{FF2B5EF4-FFF2-40B4-BE49-F238E27FC236}">
              <a16:creationId xmlns:a16="http://schemas.microsoft.com/office/drawing/2014/main" id="{3794D0F5-E282-3846-60D1-49BAFC483F5D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10" name="Rechteckiger Pfeil 3">
          <a:extLst>
            <a:ext uri="{FF2B5EF4-FFF2-40B4-BE49-F238E27FC236}">
              <a16:creationId xmlns:a16="http://schemas.microsoft.com/office/drawing/2014/main" id="{5B60CC73-C64C-8C3E-B986-33F22E3FA804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13" name="Rechteckiger Pfeil 3">
          <a:extLst>
            <a:ext uri="{FF2B5EF4-FFF2-40B4-BE49-F238E27FC236}">
              <a16:creationId xmlns:a16="http://schemas.microsoft.com/office/drawing/2014/main" id="{05A29D06-DCD1-76A9-775B-0A6492A3F8C1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16" name="Rechteckiger Pfeil 3">
          <a:extLst>
            <a:ext uri="{FF2B5EF4-FFF2-40B4-BE49-F238E27FC236}">
              <a16:creationId xmlns:a16="http://schemas.microsoft.com/office/drawing/2014/main" id="{BA225903-8CBE-E0F2-4F90-6C62630826CD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257170</xdr:colOff>
      <xdr:row>10</xdr:row>
      <xdr:rowOff>34925</xdr:rowOff>
    </xdr:from>
    <xdr:to>
      <xdr:col>16</xdr:col>
      <xdr:colOff>962023</xdr:colOff>
      <xdr:row>16</xdr:row>
      <xdr:rowOff>25400</xdr:rowOff>
    </xdr:to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A850C7A1-B7EE-43A1-9789-EAE8E63B9F22}"/>
            </a:ext>
          </a:extLst>
        </xdr:cNvPr>
        <xdr:cNvSpPr txBox="1"/>
      </xdr:nvSpPr>
      <xdr:spPr>
        <a:xfrm>
          <a:off x="12207870" y="1489075"/>
          <a:ext cx="3276603" cy="968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Contributions d'assurances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sociales (employé/e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 Signalement des erreurs / remarques</a:t>
          </a:r>
        </a:p>
        <a:p>
          <a:endParaRPr lang="de-CH" sz="1000" baseline="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Apparaissent à droite du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décompte de salaire!</a:t>
          </a:r>
          <a:endParaRPr lang="de-CH" sz="1000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617468</xdr:colOff>
      <xdr:row>13</xdr:row>
      <xdr:rowOff>19237</xdr:rowOff>
    </xdr:from>
    <xdr:to>
      <xdr:col>14</xdr:col>
      <xdr:colOff>176392</xdr:colOff>
      <xdr:row>14</xdr:row>
      <xdr:rowOff>151940</xdr:rowOff>
    </xdr:to>
    <xdr:sp macro="" textlink="">
      <xdr:nvSpPr>
        <xdr:cNvPr id="18" name="Rechteckiger Pfeil 3">
          <a:extLst>
            <a:ext uri="{FF2B5EF4-FFF2-40B4-BE49-F238E27FC236}">
              <a16:creationId xmlns:a16="http://schemas.microsoft.com/office/drawing/2014/main" id="{41DBDF86-349A-4B5F-98D3-D9E0FFE9A694}"/>
            </a:ext>
          </a:extLst>
        </xdr:cNvPr>
        <xdr:cNvSpPr/>
      </xdr:nvSpPr>
      <xdr:spPr>
        <a:xfrm flipV="1">
          <a:off x="12568168" y="1975037"/>
          <a:ext cx="416174" cy="291453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507439</xdr:colOff>
      <xdr:row>13</xdr:row>
      <xdr:rowOff>133350</xdr:rowOff>
    </xdr:from>
    <xdr:to>
      <xdr:col>14</xdr:col>
      <xdr:colOff>88972</xdr:colOff>
      <xdr:row>15</xdr:row>
      <xdr:rowOff>104775</xdr:rowOff>
    </xdr:to>
    <xdr:sp macro="" textlink="">
      <xdr:nvSpPr>
        <xdr:cNvPr id="4" name="Rechteckiger Pfeil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 flipV="1">
          <a:off x="11918389" y="2076450"/>
          <a:ext cx="400683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507882</xdr:colOff>
      <xdr:row>13</xdr:row>
      <xdr:rowOff>133350</xdr:rowOff>
    </xdr:from>
    <xdr:to>
      <xdr:col>14</xdr:col>
      <xdr:colOff>89791</xdr:colOff>
      <xdr:row>15</xdr:row>
      <xdr:rowOff>104775</xdr:rowOff>
    </xdr:to>
    <xdr:sp macro="" textlink="">
      <xdr:nvSpPr>
        <xdr:cNvPr id="7" name="Rechteckiger Pfeil 3">
          <a:extLst>
            <a:ext uri="{FF2B5EF4-FFF2-40B4-BE49-F238E27FC236}">
              <a16:creationId xmlns:a16="http://schemas.microsoft.com/office/drawing/2014/main" id="{88C7EE2E-266B-2BFA-5FAB-CC1C790E9B29}"/>
            </a:ext>
          </a:extLst>
        </xdr:cNvPr>
        <xdr:cNvSpPr/>
      </xdr:nvSpPr>
      <xdr:spPr>
        <a:xfrm flipV="1">
          <a:off x="11918832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10" name="Rechteckiger Pfeil 3">
          <a:extLst>
            <a:ext uri="{FF2B5EF4-FFF2-40B4-BE49-F238E27FC236}">
              <a16:creationId xmlns:a16="http://schemas.microsoft.com/office/drawing/2014/main" id="{3785024F-6DB2-8666-F8BF-0A0EA9FC5601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16" name="Rechteckiger Pfeil 3">
          <a:extLst>
            <a:ext uri="{FF2B5EF4-FFF2-40B4-BE49-F238E27FC236}">
              <a16:creationId xmlns:a16="http://schemas.microsoft.com/office/drawing/2014/main" id="{3B8B54D1-D34C-550F-B708-C957E63E5032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257170</xdr:colOff>
      <xdr:row>10</xdr:row>
      <xdr:rowOff>34925</xdr:rowOff>
    </xdr:from>
    <xdr:to>
      <xdr:col>16</xdr:col>
      <xdr:colOff>962023</xdr:colOff>
      <xdr:row>16</xdr:row>
      <xdr:rowOff>25400</xdr:rowOff>
    </xdr:to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6E5575EF-D7CF-49B6-8489-5A0060EDA74A}"/>
            </a:ext>
          </a:extLst>
        </xdr:cNvPr>
        <xdr:cNvSpPr txBox="1"/>
      </xdr:nvSpPr>
      <xdr:spPr>
        <a:xfrm>
          <a:off x="12207870" y="1489075"/>
          <a:ext cx="3276603" cy="968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Contributions d'assurances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sociales (employé/e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 Signalement des erreurs / remarques</a:t>
          </a:r>
        </a:p>
        <a:p>
          <a:endParaRPr lang="de-CH" sz="1000" baseline="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Apparaissent à droite du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décompte de salaire!</a:t>
          </a:r>
          <a:endParaRPr lang="de-CH" sz="1000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617468</xdr:colOff>
      <xdr:row>13</xdr:row>
      <xdr:rowOff>19237</xdr:rowOff>
    </xdr:from>
    <xdr:to>
      <xdr:col>14</xdr:col>
      <xdr:colOff>176392</xdr:colOff>
      <xdr:row>14</xdr:row>
      <xdr:rowOff>151940</xdr:rowOff>
    </xdr:to>
    <xdr:sp macro="" textlink="">
      <xdr:nvSpPr>
        <xdr:cNvPr id="18" name="Rechteckiger Pfeil 3">
          <a:extLst>
            <a:ext uri="{FF2B5EF4-FFF2-40B4-BE49-F238E27FC236}">
              <a16:creationId xmlns:a16="http://schemas.microsoft.com/office/drawing/2014/main" id="{078338D5-B70E-43EB-9E14-50EA75A50416}"/>
            </a:ext>
          </a:extLst>
        </xdr:cNvPr>
        <xdr:cNvSpPr/>
      </xdr:nvSpPr>
      <xdr:spPr>
        <a:xfrm flipV="1">
          <a:off x="12568168" y="1975037"/>
          <a:ext cx="416174" cy="291453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507440</xdr:colOff>
      <xdr:row>13</xdr:row>
      <xdr:rowOff>133350</xdr:rowOff>
    </xdr:from>
    <xdr:to>
      <xdr:col>14</xdr:col>
      <xdr:colOff>88973</xdr:colOff>
      <xdr:row>15</xdr:row>
      <xdr:rowOff>104775</xdr:rowOff>
    </xdr:to>
    <xdr:sp macro="" textlink="">
      <xdr:nvSpPr>
        <xdr:cNvPr id="4" name="Rechteckiger Pfei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 flipV="1">
          <a:off x="11918390" y="2076450"/>
          <a:ext cx="400683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10" name="Rechteckiger Pfeil 3">
          <a:extLst>
            <a:ext uri="{FF2B5EF4-FFF2-40B4-BE49-F238E27FC236}">
              <a16:creationId xmlns:a16="http://schemas.microsoft.com/office/drawing/2014/main" id="{0D03BA61-4B0E-8AD0-77D5-FD0C89E1C054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13" name="Rechteckiger Pfeil 3">
          <a:extLst>
            <a:ext uri="{FF2B5EF4-FFF2-40B4-BE49-F238E27FC236}">
              <a16:creationId xmlns:a16="http://schemas.microsoft.com/office/drawing/2014/main" id="{B1548669-B3C4-5A69-A78A-BC101B8CD3DE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257170</xdr:colOff>
      <xdr:row>10</xdr:row>
      <xdr:rowOff>34925</xdr:rowOff>
    </xdr:from>
    <xdr:to>
      <xdr:col>16</xdr:col>
      <xdr:colOff>962023</xdr:colOff>
      <xdr:row>16</xdr:row>
      <xdr:rowOff>25400</xdr:rowOff>
    </xdr:to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E8AFF8F7-502B-413E-9A3A-1626838B52E4}"/>
            </a:ext>
          </a:extLst>
        </xdr:cNvPr>
        <xdr:cNvSpPr txBox="1"/>
      </xdr:nvSpPr>
      <xdr:spPr>
        <a:xfrm>
          <a:off x="12207870" y="1489075"/>
          <a:ext cx="3276603" cy="968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Contributions d'assurances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sociales (employé/e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 Signalement des erreurs / remarques</a:t>
          </a:r>
        </a:p>
        <a:p>
          <a:endParaRPr lang="de-CH" sz="1000" baseline="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Apparaissent à droite du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décompte de salaire!</a:t>
          </a:r>
          <a:endParaRPr lang="de-CH" sz="1000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617468</xdr:colOff>
      <xdr:row>13</xdr:row>
      <xdr:rowOff>19237</xdr:rowOff>
    </xdr:from>
    <xdr:to>
      <xdr:col>14</xdr:col>
      <xdr:colOff>176392</xdr:colOff>
      <xdr:row>14</xdr:row>
      <xdr:rowOff>151940</xdr:rowOff>
    </xdr:to>
    <xdr:sp macro="" textlink="">
      <xdr:nvSpPr>
        <xdr:cNvPr id="18" name="Rechteckiger Pfeil 3">
          <a:extLst>
            <a:ext uri="{FF2B5EF4-FFF2-40B4-BE49-F238E27FC236}">
              <a16:creationId xmlns:a16="http://schemas.microsoft.com/office/drawing/2014/main" id="{8EE83FA8-2D33-442F-8684-34097920FAB4}"/>
            </a:ext>
          </a:extLst>
        </xdr:cNvPr>
        <xdr:cNvSpPr/>
      </xdr:nvSpPr>
      <xdr:spPr>
        <a:xfrm flipV="1">
          <a:off x="12568168" y="1975037"/>
          <a:ext cx="416174" cy="291453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507440</xdr:colOff>
      <xdr:row>13</xdr:row>
      <xdr:rowOff>133350</xdr:rowOff>
    </xdr:from>
    <xdr:to>
      <xdr:col>14</xdr:col>
      <xdr:colOff>88973</xdr:colOff>
      <xdr:row>15</xdr:row>
      <xdr:rowOff>104775</xdr:rowOff>
    </xdr:to>
    <xdr:sp macro="" textlink="">
      <xdr:nvSpPr>
        <xdr:cNvPr id="4" name="Rechteckiger Pfeil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 flipV="1">
          <a:off x="11918390" y="2076450"/>
          <a:ext cx="400683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507883</xdr:colOff>
      <xdr:row>13</xdr:row>
      <xdr:rowOff>133350</xdr:rowOff>
    </xdr:from>
    <xdr:to>
      <xdr:col>14</xdr:col>
      <xdr:colOff>89792</xdr:colOff>
      <xdr:row>15</xdr:row>
      <xdr:rowOff>104775</xdr:rowOff>
    </xdr:to>
    <xdr:sp macro="" textlink="">
      <xdr:nvSpPr>
        <xdr:cNvPr id="7" name="Rechteckiger Pfeil 3">
          <a:extLst>
            <a:ext uri="{FF2B5EF4-FFF2-40B4-BE49-F238E27FC236}">
              <a16:creationId xmlns:a16="http://schemas.microsoft.com/office/drawing/2014/main" id="{6CABEFD1-E445-9C0F-3B56-277FD6BC707F}"/>
            </a:ext>
          </a:extLst>
        </xdr:cNvPr>
        <xdr:cNvSpPr/>
      </xdr:nvSpPr>
      <xdr:spPr>
        <a:xfrm flipV="1">
          <a:off x="11918833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507882</xdr:colOff>
      <xdr:row>13</xdr:row>
      <xdr:rowOff>133350</xdr:rowOff>
    </xdr:from>
    <xdr:to>
      <xdr:col>14</xdr:col>
      <xdr:colOff>89791</xdr:colOff>
      <xdr:row>15</xdr:row>
      <xdr:rowOff>104775</xdr:rowOff>
    </xdr:to>
    <xdr:sp macro="" textlink="">
      <xdr:nvSpPr>
        <xdr:cNvPr id="10" name="Rechteckiger Pfeil 3">
          <a:extLst>
            <a:ext uri="{FF2B5EF4-FFF2-40B4-BE49-F238E27FC236}">
              <a16:creationId xmlns:a16="http://schemas.microsoft.com/office/drawing/2014/main" id="{81B9B1A1-5C2B-BF40-CB2B-34075313C08E}"/>
            </a:ext>
          </a:extLst>
        </xdr:cNvPr>
        <xdr:cNvSpPr/>
      </xdr:nvSpPr>
      <xdr:spPr>
        <a:xfrm flipV="1">
          <a:off x="11918832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507882</xdr:colOff>
      <xdr:row>13</xdr:row>
      <xdr:rowOff>133350</xdr:rowOff>
    </xdr:from>
    <xdr:to>
      <xdr:col>14</xdr:col>
      <xdr:colOff>89791</xdr:colOff>
      <xdr:row>15</xdr:row>
      <xdr:rowOff>104775</xdr:rowOff>
    </xdr:to>
    <xdr:sp macro="" textlink="">
      <xdr:nvSpPr>
        <xdr:cNvPr id="13" name="Rechteckiger Pfeil 3">
          <a:extLst>
            <a:ext uri="{FF2B5EF4-FFF2-40B4-BE49-F238E27FC236}">
              <a16:creationId xmlns:a16="http://schemas.microsoft.com/office/drawing/2014/main" id="{D87C60C2-EC66-CCC9-103E-6AD177F4865C}"/>
            </a:ext>
          </a:extLst>
        </xdr:cNvPr>
        <xdr:cNvSpPr/>
      </xdr:nvSpPr>
      <xdr:spPr>
        <a:xfrm flipV="1">
          <a:off x="11918832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507882</xdr:colOff>
      <xdr:row>13</xdr:row>
      <xdr:rowOff>133350</xdr:rowOff>
    </xdr:from>
    <xdr:to>
      <xdr:col>14</xdr:col>
      <xdr:colOff>89791</xdr:colOff>
      <xdr:row>15</xdr:row>
      <xdr:rowOff>104775</xdr:rowOff>
    </xdr:to>
    <xdr:sp macro="" textlink="">
      <xdr:nvSpPr>
        <xdr:cNvPr id="16" name="Rechteckiger Pfeil 3">
          <a:extLst>
            <a:ext uri="{FF2B5EF4-FFF2-40B4-BE49-F238E27FC236}">
              <a16:creationId xmlns:a16="http://schemas.microsoft.com/office/drawing/2014/main" id="{CAA64D40-F61B-2A57-6633-2D2CC689740B}"/>
            </a:ext>
          </a:extLst>
        </xdr:cNvPr>
        <xdr:cNvSpPr/>
      </xdr:nvSpPr>
      <xdr:spPr>
        <a:xfrm flipV="1">
          <a:off x="11918832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260345</xdr:colOff>
      <xdr:row>10</xdr:row>
      <xdr:rowOff>34925</xdr:rowOff>
    </xdr:from>
    <xdr:to>
      <xdr:col>16</xdr:col>
      <xdr:colOff>965198</xdr:colOff>
      <xdr:row>16</xdr:row>
      <xdr:rowOff>28575</xdr:rowOff>
    </xdr:to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AD6E1B1E-C649-46D1-A244-B109C8835AFF}"/>
            </a:ext>
          </a:extLst>
        </xdr:cNvPr>
        <xdr:cNvSpPr txBox="1"/>
      </xdr:nvSpPr>
      <xdr:spPr>
        <a:xfrm>
          <a:off x="12223745" y="1492250"/>
          <a:ext cx="3276603" cy="9842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Contributions d'assurances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sociales (employé/e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 Signalement des erreurs / remarques</a:t>
          </a:r>
        </a:p>
        <a:p>
          <a:endParaRPr lang="de-CH" sz="1000" baseline="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Apparaissent à droite du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décompte de salaire!</a:t>
          </a:r>
          <a:endParaRPr lang="de-CH" sz="1000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617468</xdr:colOff>
      <xdr:row>13</xdr:row>
      <xdr:rowOff>19237</xdr:rowOff>
    </xdr:from>
    <xdr:to>
      <xdr:col>14</xdr:col>
      <xdr:colOff>176392</xdr:colOff>
      <xdr:row>14</xdr:row>
      <xdr:rowOff>151940</xdr:rowOff>
    </xdr:to>
    <xdr:sp macro="" textlink="">
      <xdr:nvSpPr>
        <xdr:cNvPr id="18" name="Rechteckiger Pfeil 3">
          <a:extLst>
            <a:ext uri="{FF2B5EF4-FFF2-40B4-BE49-F238E27FC236}">
              <a16:creationId xmlns:a16="http://schemas.microsoft.com/office/drawing/2014/main" id="{09453365-10D3-4C01-A611-CAA0C694962B}"/>
            </a:ext>
          </a:extLst>
        </xdr:cNvPr>
        <xdr:cNvSpPr/>
      </xdr:nvSpPr>
      <xdr:spPr>
        <a:xfrm flipV="1">
          <a:off x="12568168" y="1975037"/>
          <a:ext cx="416174" cy="291453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507440</xdr:colOff>
      <xdr:row>13</xdr:row>
      <xdr:rowOff>133350</xdr:rowOff>
    </xdr:from>
    <xdr:to>
      <xdr:col>14</xdr:col>
      <xdr:colOff>88973</xdr:colOff>
      <xdr:row>15</xdr:row>
      <xdr:rowOff>104775</xdr:rowOff>
    </xdr:to>
    <xdr:sp macro="" textlink="">
      <xdr:nvSpPr>
        <xdr:cNvPr id="4" name="Rechteckiger Pfeil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 flipV="1">
          <a:off x="11918390" y="2076450"/>
          <a:ext cx="400683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507882</xdr:colOff>
      <xdr:row>13</xdr:row>
      <xdr:rowOff>133350</xdr:rowOff>
    </xdr:from>
    <xdr:to>
      <xdr:col>14</xdr:col>
      <xdr:colOff>89791</xdr:colOff>
      <xdr:row>15</xdr:row>
      <xdr:rowOff>104775</xdr:rowOff>
    </xdr:to>
    <xdr:sp macro="" textlink="">
      <xdr:nvSpPr>
        <xdr:cNvPr id="7" name="Rechteckiger Pfeil 3">
          <a:extLst>
            <a:ext uri="{FF2B5EF4-FFF2-40B4-BE49-F238E27FC236}">
              <a16:creationId xmlns:a16="http://schemas.microsoft.com/office/drawing/2014/main" id="{9A7F0461-BE46-158D-AA6C-A3AD722A1F4C}"/>
            </a:ext>
          </a:extLst>
        </xdr:cNvPr>
        <xdr:cNvSpPr/>
      </xdr:nvSpPr>
      <xdr:spPr>
        <a:xfrm flipV="1">
          <a:off x="11918832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507882</xdr:colOff>
      <xdr:row>13</xdr:row>
      <xdr:rowOff>133350</xdr:rowOff>
    </xdr:from>
    <xdr:to>
      <xdr:col>14</xdr:col>
      <xdr:colOff>89791</xdr:colOff>
      <xdr:row>15</xdr:row>
      <xdr:rowOff>104775</xdr:rowOff>
    </xdr:to>
    <xdr:sp macro="" textlink="">
      <xdr:nvSpPr>
        <xdr:cNvPr id="10" name="Rechteckiger Pfeil 3">
          <a:extLst>
            <a:ext uri="{FF2B5EF4-FFF2-40B4-BE49-F238E27FC236}">
              <a16:creationId xmlns:a16="http://schemas.microsoft.com/office/drawing/2014/main" id="{F1CD7A58-74ED-124B-7823-081D3673FBFB}"/>
            </a:ext>
          </a:extLst>
        </xdr:cNvPr>
        <xdr:cNvSpPr/>
      </xdr:nvSpPr>
      <xdr:spPr>
        <a:xfrm flipV="1">
          <a:off x="11918832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507882</xdr:colOff>
      <xdr:row>13</xdr:row>
      <xdr:rowOff>133350</xdr:rowOff>
    </xdr:from>
    <xdr:to>
      <xdr:col>14</xdr:col>
      <xdr:colOff>89791</xdr:colOff>
      <xdr:row>15</xdr:row>
      <xdr:rowOff>104775</xdr:rowOff>
    </xdr:to>
    <xdr:sp macro="" textlink="">
      <xdr:nvSpPr>
        <xdr:cNvPr id="13" name="Rechteckiger Pfeil 3">
          <a:extLst>
            <a:ext uri="{FF2B5EF4-FFF2-40B4-BE49-F238E27FC236}">
              <a16:creationId xmlns:a16="http://schemas.microsoft.com/office/drawing/2014/main" id="{EB814B6F-3D32-2265-23D9-65613D942E0C}"/>
            </a:ext>
          </a:extLst>
        </xdr:cNvPr>
        <xdr:cNvSpPr/>
      </xdr:nvSpPr>
      <xdr:spPr>
        <a:xfrm flipV="1">
          <a:off x="11918832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507882</xdr:colOff>
      <xdr:row>13</xdr:row>
      <xdr:rowOff>133350</xdr:rowOff>
    </xdr:from>
    <xdr:to>
      <xdr:col>14</xdr:col>
      <xdr:colOff>89791</xdr:colOff>
      <xdr:row>15</xdr:row>
      <xdr:rowOff>104775</xdr:rowOff>
    </xdr:to>
    <xdr:sp macro="" textlink="">
      <xdr:nvSpPr>
        <xdr:cNvPr id="16" name="Rechteckiger Pfeil 3">
          <a:extLst>
            <a:ext uri="{FF2B5EF4-FFF2-40B4-BE49-F238E27FC236}">
              <a16:creationId xmlns:a16="http://schemas.microsoft.com/office/drawing/2014/main" id="{14719D8A-57B9-9D57-DF47-4CA9BEFF26E9}"/>
            </a:ext>
          </a:extLst>
        </xdr:cNvPr>
        <xdr:cNvSpPr/>
      </xdr:nvSpPr>
      <xdr:spPr>
        <a:xfrm flipV="1">
          <a:off x="11918832" y="2076450"/>
          <a:ext cx="401059" cy="295275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 fPrintsWithSheet="0"/>
  </xdr:twoCellAnchor>
  <xdr:twoCellAnchor>
    <xdr:from>
      <xdr:col>13</xdr:col>
      <xdr:colOff>257170</xdr:colOff>
      <xdr:row>10</xdr:row>
      <xdr:rowOff>34925</xdr:rowOff>
    </xdr:from>
    <xdr:to>
      <xdr:col>16</xdr:col>
      <xdr:colOff>962023</xdr:colOff>
      <xdr:row>16</xdr:row>
      <xdr:rowOff>25400</xdr:rowOff>
    </xdr:to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1771152D-248A-4968-886F-333473E25B23}"/>
            </a:ext>
          </a:extLst>
        </xdr:cNvPr>
        <xdr:cNvSpPr txBox="1"/>
      </xdr:nvSpPr>
      <xdr:spPr>
        <a:xfrm>
          <a:off x="12207870" y="1489075"/>
          <a:ext cx="3276603" cy="968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Contributions d'assurances</a:t>
          </a:r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sociales (employé/e</a:t>
          </a:r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)</a:t>
          </a:r>
        </a:p>
        <a:p>
          <a:r>
            <a:rPr lang="de-CH" sz="10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- Signalement des erreurs / remarques</a:t>
          </a:r>
        </a:p>
        <a:p>
          <a:endParaRPr lang="de-CH" sz="1000" baseline="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Apparaissent à droite du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CH" sz="1000" i="1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	</a:t>
          </a:r>
          <a:r>
            <a:rPr lang="de-CH" sz="1000" i="1" baseline="0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décompte de salaire!</a:t>
          </a:r>
          <a:endParaRPr lang="de-CH" sz="1000">
            <a:solidFill>
              <a:srgbClr val="FF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617468</xdr:colOff>
      <xdr:row>13</xdr:row>
      <xdr:rowOff>19237</xdr:rowOff>
    </xdr:from>
    <xdr:to>
      <xdr:col>14</xdr:col>
      <xdr:colOff>176392</xdr:colOff>
      <xdr:row>14</xdr:row>
      <xdr:rowOff>151940</xdr:rowOff>
    </xdr:to>
    <xdr:sp macro="" textlink="">
      <xdr:nvSpPr>
        <xdr:cNvPr id="18" name="Rechteckiger Pfeil 3">
          <a:extLst>
            <a:ext uri="{FF2B5EF4-FFF2-40B4-BE49-F238E27FC236}">
              <a16:creationId xmlns:a16="http://schemas.microsoft.com/office/drawing/2014/main" id="{41631BF6-B154-43B7-9C66-E37AEB134796}"/>
            </a:ext>
          </a:extLst>
        </xdr:cNvPr>
        <xdr:cNvSpPr/>
      </xdr:nvSpPr>
      <xdr:spPr>
        <a:xfrm flipV="1">
          <a:off x="12568168" y="1975037"/>
          <a:ext cx="416174" cy="291453"/>
        </a:xfrm>
        <a:prstGeom prst="ben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participa.ch/fr/modele-bernois/projet-pilote/choix-des-fournisseurs-1/personnel-dassistance/" TargetMode="External"/><Relationship Id="rId2" Type="http://schemas.openxmlformats.org/officeDocument/2006/relationships/hyperlink" Target="mailto:info@bernermodell.ch" TargetMode="External"/><Relationship Id="rId1" Type="http://schemas.openxmlformats.org/officeDocument/2006/relationships/hyperlink" Target="http://www.assistme.ch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DE45E-D3EC-438B-970F-CE264735C0F3}">
  <dimension ref="A1:G26"/>
  <sheetViews>
    <sheetView workbookViewId="0">
      <selection activeCell="B2" sqref="B2"/>
    </sheetView>
  </sheetViews>
  <sheetFormatPr baseColWidth="10" defaultColWidth="11.453125" defaultRowHeight="13" x14ac:dyDescent="0.3"/>
  <cols>
    <col min="1" max="1" width="20.26953125" style="406" bestFit="1" customWidth="1"/>
    <col min="2" max="16384" width="11.453125" style="406"/>
  </cols>
  <sheetData>
    <row r="1" spans="1:7" x14ac:dyDescent="0.3">
      <c r="A1" s="406" t="s">
        <v>0</v>
      </c>
      <c r="B1" s="407">
        <v>46023</v>
      </c>
      <c r="C1" s="408">
        <f>DATE(YEAR(B1),12,31)</f>
        <v>46387</v>
      </c>
      <c r="D1" s="406">
        <f>YEAR(C1)</f>
        <v>2026</v>
      </c>
      <c r="F1" s="406" t="s">
        <v>1</v>
      </c>
      <c r="G1" s="406" t="s">
        <v>2</v>
      </c>
    </row>
    <row r="2" spans="1:7" x14ac:dyDescent="0.3">
      <c r="F2" s="406">
        <v>1920</v>
      </c>
      <c r="G2" s="406">
        <v>0</v>
      </c>
    </row>
    <row r="3" spans="1:7" x14ac:dyDescent="0.3">
      <c r="F3" s="406">
        <v>1941</v>
      </c>
      <c r="G3" s="406">
        <v>0</v>
      </c>
    </row>
    <row r="4" spans="1:7" x14ac:dyDescent="0.3">
      <c r="A4" s="409" t="s">
        <v>3</v>
      </c>
      <c r="F4" s="406">
        <v>1942</v>
      </c>
      <c r="G4" s="406">
        <v>0</v>
      </c>
    </row>
    <row r="5" spans="1:7" x14ac:dyDescent="0.3">
      <c r="A5" s="406" t="s">
        <v>4</v>
      </c>
      <c r="B5" s="410">
        <v>5.2999999999999999E-2</v>
      </c>
      <c r="F5" s="406">
        <v>1943</v>
      </c>
      <c r="G5" s="406">
        <v>0</v>
      </c>
    </row>
    <row r="6" spans="1:7" x14ac:dyDescent="0.3">
      <c r="A6" s="406" t="s">
        <v>5</v>
      </c>
      <c r="B6" s="410">
        <v>1.0999999999999999E-2</v>
      </c>
      <c r="F6" s="406">
        <v>1944</v>
      </c>
      <c r="G6" s="406">
        <v>0</v>
      </c>
    </row>
    <row r="7" spans="1:7" x14ac:dyDescent="0.3">
      <c r="A7" s="406" t="s">
        <v>6</v>
      </c>
      <c r="B7" s="411">
        <v>1400</v>
      </c>
      <c r="F7" s="406">
        <v>1945</v>
      </c>
      <c r="G7" s="406">
        <v>0</v>
      </c>
    </row>
    <row r="8" spans="1:7" x14ac:dyDescent="0.3">
      <c r="A8" s="406" t="s">
        <v>7</v>
      </c>
      <c r="B8" s="411">
        <v>22680</v>
      </c>
      <c r="F8" s="406">
        <v>1946</v>
      </c>
      <c r="G8" s="406">
        <v>0</v>
      </c>
    </row>
    <row r="9" spans="1:7" x14ac:dyDescent="0.3">
      <c r="A9" s="406" t="s">
        <v>8</v>
      </c>
      <c r="B9" s="411">
        <v>58800</v>
      </c>
      <c r="F9" s="406">
        <v>1947</v>
      </c>
      <c r="G9" s="406">
        <v>0</v>
      </c>
    </row>
    <row r="10" spans="1:7" x14ac:dyDescent="0.3">
      <c r="F10" s="406">
        <v>1948</v>
      </c>
      <c r="G10" s="406">
        <v>0</v>
      </c>
    </row>
    <row r="11" spans="1:7" x14ac:dyDescent="0.3">
      <c r="F11" s="406">
        <v>1949</v>
      </c>
      <c r="G11" s="406">
        <v>0</v>
      </c>
    </row>
    <row r="12" spans="1:7" x14ac:dyDescent="0.3">
      <c r="F12" s="406">
        <v>1950</v>
      </c>
      <c r="G12" s="406">
        <v>0</v>
      </c>
    </row>
    <row r="13" spans="1:7" x14ac:dyDescent="0.3">
      <c r="F13" s="406">
        <v>1951</v>
      </c>
      <c r="G13" s="406">
        <v>0</v>
      </c>
    </row>
    <row r="14" spans="1:7" x14ac:dyDescent="0.3">
      <c r="F14" s="406">
        <v>1952</v>
      </c>
      <c r="G14" s="406">
        <v>0</v>
      </c>
    </row>
    <row r="15" spans="1:7" x14ac:dyDescent="0.3">
      <c r="F15" s="406">
        <v>1953</v>
      </c>
      <c r="G15" s="406">
        <v>0</v>
      </c>
    </row>
    <row r="16" spans="1:7" x14ac:dyDescent="0.3">
      <c r="F16" s="406">
        <v>1954</v>
      </c>
      <c r="G16" s="406">
        <v>0</v>
      </c>
    </row>
    <row r="17" spans="6:7" x14ac:dyDescent="0.3">
      <c r="F17" s="406">
        <v>1955</v>
      </c>
      <c r="G17" s="406">
        <v>0</v>
      </c>
    </row>
    <row r="18" spans="6:7" x14ac:dyDescent="0.3">
      <c r="F18" s="406">
        <v>1956</v>
      </c>
      <c r="G18" s="406">
        <v>0</v>
      </c>
    </row>
    <row r="19" spans="6:7" x14ac:dyDescent="0.3">
      <c r="F19" s="406">
        <v>1957</v>
      </c>
      <c r="G19" s="406">
        <v>0</v>
      </c>
    </row>
    <row r="20" spans="6:7" x14ac:dyDescent="0.3">
      <c r="F20" s="406">
        <v>1958</v>
      </c>
      <c r="G20" s="406">
        <v>0</v>
      </c>
    </row>
    <row r="21" spans="6:7" x14ac:dyDescent="0.3">
      <c r="F21" s="406">
        <v>1959</v>
      </c>
      <c r="G21" s="406">
        <v>0</v>
      </c>
    </row>
    <row r="22" spans="6:7" x14ac:dyDescent="0.3">
      <c r="F22" s="406">
        <v>1960</v>
      </c>
      <c r="G22" s="406">
        <v>0</v>
      </c>
    </row>
    <row r="23" spans="6:7" x14ac:dyDescent="0.3">
      <c r="F23" s="406">
        <v>1961</v>
      </c>
      <c r="G23" s="406">
        <v>3</v>
      </c>
    </row>
    <row r="24" spans="6:7" x14ac:dyDescent="0.3">
      <c r="F24" s="406">
        <v>1962</v>
      </c>
      <c r="G24" s="406">
        <v>6</v>
      </c>
    </row>
    <row r="25" spans="6:7" x14ac:dyDescent="0.3">
      <c r="F25" s="406">
        <v>1963</v>
      </c>
      <c r="G25" s="406">
        <v>9</v>
      </c>
    </row>
    <row r="26" spans="6:7" x14ac:dyDescent="0.3">
      <c r="F26" s="406">
        <v>1964</v>
      </c>
      <c r="G26" s="406">
        <v>12</v>
      </c>
    </row>
  </sheetData>
  <sheetProtection algorithmName="SHA-512" hashValue="RJQss2XDpm/xtN1S8VQodICaXLmwWZoqkf9BZNN1xEeogtotNVlNUw2tRyStWelsuiUKcl0Y0Yz2wtTAZxtPlA==" saltValue="m9JfjpPaO5oAju7fWar8Jg==" spinCount="100000" sheet="1" objects="1" scenarios="1"/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BD"/>
    <pageSetUpPr fitToPage="1"/>
  </sheetPr>
  <dimension ref="A1:AK83"/>
  <sheetViews>
    <sheetView showGridLines="0" showZeros="0" zoomScaleNormal="100" workbookViewId="0">
      <selection activeCell="C6" sqref="C6:D6"/>
    </sheetView>
  </sheetViews>
  <sheetFormatPr baseColWidth="10" defaultColWidth="11.453125" defaultRowHeight="12.5" x14ac:dyDescent="0.25"/>
  <cols>
    <col min="1" max="1" width="20.81640625" style="1" customWidth="1"/>
    <col min="2" max="2" width="4.54296875" style="1" bestFit="1" customWidth="1"/>
    <col min="3" max="4" width="13.7265625" style="1" customWidth="1"/>
    <col min="5" max="5" width="14.54296875" style="1" customWidth="1"/>
    <col min="6" max="8" width="13.7265625" style="1" customWidth="1"/>
    <col min="9" max="9" width="21.1796875" style="1" customWidth="1"/>
    <col min="10" max="10" width="4.54296875" style="1" bestFit="1" customWidth="1"/>
    <col min="11" max="16" width="12.26953125" style="1" customWidth="1"/>
    <col min="17" max="17" width="14.26953125" style="1" bestFit="1" customWidth="1"/>
    <col min="18" max="18" width="5" style="1" customWidth="1"/>
    <col min="19" max="19" width="29" style="1" customWidth="1"/>
    <col min="20" max="20" width="21" style="1" customWidth="1"/>
    <col min="21" max="21" width="15.7265625" style="1" customWidth="1"/>
    <col min="22" max="22" width="8" style="1" customWidth="1"/>
    <col min="23" max="23" width="15.26953125" style="1" hidden="1" customWidth="1"/>
    <col min="24" max="31" width="15.26953125" style="68" hidden="1" customWidth="1"/>
    <col min="32" max="35" width="15.26953125" style="1" hidden="1" customWidth="1"/>
    <col min="36" max="37" width="15.26953125" style="1" customWidth="1"/>
    <col min="38" max="16384" width="11.453125" style="1"/>
  </cols>
  <sheetData>
    <row r="1" spans="1:35" ht="12.75" customHeight="1" x14ac:dyDescent="0.25">
      <c r="A1" s="474" t="str">
        <f>'PA 1'!A1:C1</f>
        <v>Nom/Prénom employeur</v>
      </c>
      <c r="B1" s="474"/>
      <c r="C1" s="474"/>
      <c r="D1" s="473" t="str">
        <f>"Programme de salaire "&amp;Grundlagen!$D$1</f>
        <v>Programme de salaire 2026</v>
      </c>
      <c r="E1" s="473"/>
      <c r="F1" s="473"/>
      <c r="G1" s="460" t="str">
        <f>IF($W45&gt;4,"Attention erreur!",IF($W$45&gt;0,"Attention remarque!",""))</f>
        <v/>
      </c>
      <c r="H1" s="460"/>
      <c r="I1" s="475" t="str">
        <f>A1</f>
        <v>Nom/Prénom employeur</v>
      </c>
      <c r="J1" s="475"/>
      <c r="K1" s="475"/>
      <c r="L1" s="473" t="str">
        <f>D1</f>
        <v>Programme de salaire 2026</v>
      </c>
      <c r="M1" s="473"/>
      <c r="N1" s="473"/>
      <c r="P1" s="460" t="str">
        <f>IF($W45&gt;4,"Attention erreur!",IF($W$45&gt;0,"Attention remarque!",""))</f>
        <v/>
      </c>
      <c r="Q1" s="460"/>
      <c r="S1" s="250" t="s">
        <v>55</v>
      </c>
      <c r="T1" s="264"/>
      <c r="U1" s="441" t="s">
        <v>56</v>
      </c>
      <c r="V1" s="442" t="s">
        <v>57</v>
      </c>
      <c r="W1" s="425"/>
      <c r="AE1" s="1"/>
    </row>
    <row r="2" spans="1:35" ht="12.75" customHeight="1" x14ac:dyDescent="0.25">
      <c r="A2" s="474" t="str">
        <f>'PA 1'!A2:C2</f>
        <v>Lieu employeur</v>
      </c>
      <c r="B2" s="474"/>
      <c r="C2" s="474"/>
      <c r="D2" s="473"/>
      <c r="E2" s="473"/>
      <c r="F2" s="473"/>
      <c r="G2" s="460"/>
      <c r="H2" s="460"/>
      <c r="I2" s="475" t="str">
        <f>A2</f>
        <v>Lieu employeur</v>
      </c>
      <c r="J2" s="475"/>
      <c r="K2" s="475"/>
      <c r="L2" s="473"/>
      <c r="M2" s="473"/>
      <c r="N2" s="473"/>
      <c r="P2" s="460"/>
      <c r="Q2" s="460"/>
      <c r="S2" s="253" t="s">
        <v>59</v>
      </c>
      <c r="T2" s="2"/>
      <c r="U2" s="225">
        <f>IF(C16="Salaire horaire",(M8*M7*52)+(M13*M12*52),(M8+Y13)*12)</f>
        <v>0</v>
      </c>
      <c r="V2" s="265"/>
      <c r="W2" s="425"/>
      <c r="Y2" s="478" t="s">
        <v>60</v>
      </c>
      <c r="AA2" s="478" t="str">
        <f>"Jahreslohn gesamt &gt; CHF "&amp;Grundlagen!$B$9</f>
        <v>Jahreslohn gesamt &gt; CHF 58800</v>
      </c>
      <c r="AE2" s="1"/>
    </row>
    <row r="3" spans="1:35" ht="5.15" customHeight="1" x14ac:dyDescent="0.25">
      <c r="G3" s="460"/>
      <c r="H3" s="460"/>
      <c r="P3" s="460"/>
      <c r="Q3" s="460"/>
      <c r="S3" s="258"/>
      <c r="V3" s="254"/>
      <c r="W3" s="425"/>
      <c r="Y3" s="478"/>
      <c r="AA3" s="478"/>
      <c r="AE3" s="1"/>
    </row>
    <row r="4" spans="1:35" ht="15" customHeight="1" thickBot="1" x14ac:dyDescent="0.35">
      <c r="A4" s="41" t="s">
        <v>61</v>
      </c>
      <c r="B4" s="41"/>
      <c r="C4" s="41"/>
      <c r="D4" s="41"/>
      <c r="E4" s="42"/>
      <c r="F4" s="42"/>
      <c r="G4" s="42"/>
      <c r="H4" s="51" t="str">
        <f>CONCATENATE($C$6," ",$C$7)</f>
        <v xml:space="preserve"> </v>
      </c>
      <c r="I4" s="440" t="s">
        <v>62</v>
      </c>
      <c r="J4" s="440"/>
      <c r="K4" s="440"/>
      <c r="L4" s="440"/>
      <c r="M4" s="42"/>
      <c r="N4" s="42"/>
      <c r="O4" s="42"/>
      <c r="P4" s="42"/>
      <c r="Q4" s="51" t="str">
        <f>CONCATENATE($C$6," ",$C$7)</f>
        <v xml:space="preserve"> </v>
      </c>
      <c r="S4" s="467" t="s">
        <v>63</v>
      </c>
      <c r="T4" s="468"/>
      <c r="U4" s="266">
        <f>((U2-(U2*SUM(T8:T14,T16,Y9)+(12*T15)))*Z14)</f>
        <v>0</v>
      </c>
      <c r="V4" s="267">
        <f>U4/365</f>
        <v>0</v>
      </c>
      <c r="W4" s="425"/>
      <c r="X4" s="476" t="s">
        <v>64</v>
      </c>
      <c r="Y4" s="478"/>
      <c r="Z4" s="476" t="s">
        <v>65</v>
      </c>
      <c r="AA4" s="478"/>
      <c r="AB4" s="479" t="s">
        <v>66</v>
      </c>
      <c r="AC4" s="480" t="s">
        <v>67</v>
      </c>
      <c r="AD4" s="477" t="s">
        <v>68</v>
      </c>
      <c r="AE4" s="1"/>
      <c r="AH4" s="476" t="s">
        <v>69</v>
      </c>
      <c r="AI4" s="476"/>
    </row>
    <row r="5" spans="1:35" ht="5.15" customHeight="1" x14ac:dyDescent="0.25">
      <c r="X5" s="476"/>
      <c r="Y5" s="478"/>
      <c r="Z5" s="476"/>
      <c r="AA5" s="478"/>
      <c r="AB5" s="479"/>
      <c r="AC5" s="480"/>
      <c r="AD5" s="477"/>
      <c r="AE5" s="2"/>
      <c r="AF5" s="4"/>
      <c r="AG5" s="48"/>
      <c r="AH5" s="476"/>
      <c r="AI5" s="476"/>
    </row>
    <row r="6" spans="1:35" s="2" customFormat="1" ht="13.5" thickBot="1" x14ac:dyDescent="0.35">
      <c r="A6" s="2" t="s">
        <v>70</v>
      </c>
      <c r="C6" s="466"/>
      <c r="D6" s="466"/>
      <c r="E6" s="2" t="s">
        <v>71</v>
      </c>
      <c r="F6" s="461"/>
      <c r="G6" s="466"/>
      <c r="I6" s="6" t="s">
        <v>72</v>
      </c>
      <c r="N6" s="6" t="str">
        <f>IF(AND(C16="Salaire horaire",G11="oui"),"Calcul de l'indemnité les heures de garde","")</f>
        <v/>
      </c>
      <c r="W6" s="426"/>
      <c r="X6" s="2" t="s">
        <v>73</v>
      </c>
      <c r="Y6" s="2" t="s">
        <v>73</v>
      </c>
      <c r="Z6" s="2" t="str">
        <f>IF(OR(G13="simplifiée",G13="à choisir"),"simplifiée","")</f>
        <v>simplifiée</v>
      </c>
      <c r="AA6" s="59" t="str">
        <f>IF('Attestation du salaire (simpl.)'!H43&lt;Grundlagen!$B$9,"non","oui")</f>
        <v>non</v>
      </c>
      <c r="AB6" s="232" t="s">
        <v>73</v>
      </c>
      <c r="AC6" s="59" t="str">
        <f>IF(OR(F9="Parents",F9="Enfant", F9="Grands-parents", F9="Petit-fils/fille", F9="Conjoint-e", F9="Partenariat enrégistré", F9="Concubin-e"),"oui","non")</f>
        <v>non</v>
      </c>
      <c r="AD6" s="59" t="e">
        <f>IF(C16="Salaire horaire",IF(OR(M8&lt;21.6,M8&gt;21.6),"non",IF(M13="","oui",IF(OR(M13&lt;21.6,M13&gt;21.6),"non","oui"))),IF(C17="non",IF(AD9=3930,"oui","non"),IF(AD10=3630,"oui","non")))</f>
        <v>#DIV/0!</v>
      </c>
      <c r="AF6" s="5" t="s">
        <v>74</v>
      </c>
      <c r="AG6" s="49"/>
      <c r="AH6" s="2" t="s">
        <v>73</v>
      </c>
    </row>
    <row r="7" spans="1:35" s="2" customFormat="1" ht="13" x14ac:dyDescent="0.3">
      <c r="A7" s="2" t="s">
        <v>75</v>
      </c>
      <c r="C7" s="466"/>
      <c r="D7" s="466"/>
      <c r="E7" s="2" t="s">
        <v>76</v>
      </c>
      <c r="F7" s="461"/>
      <c r="G7" s="461"/>
      <c r="I7" s="2" t="str">
        <f>IF(C16="Salaire horaire",IF(G10="oui","Taux d'occupation I","Taux d'occupation"),IF(C16="Salaire mensuel","Taux d'occupation",""))</f>
        <v/>
      </c>
      <c r="L7" s="380"/>
      <c r="M7" s="443">
        <f>42*L7</f>
        <v>0</v>
      </c>
      <c r="N7" s="2" t="str">
        <f>IF(AND(C16="Salaire horaire",G11="oui"),"1 heure de garde =","")</f>
        <v/>
      </c>
      <c r="P7" s="308"/>
      <c r="Q7" s="2" t="str">
        <f>IF(AND(C16="Salaire horaire",G11="oui"),"du Sal.horaire","")</f>
        <v/>
      </c>
      <c r="S7" s="250" t="s">
        <v>77</v>
      </c>
      <c r="T7" s="251" t="s">
        <v>78</v>
      </c>
      <c r="U7" s="252"/>
      <c r="W7" s="1"/>
      <c r="X7" s="2" t="s">
        <v>79</v>
      </c>
      <c r="Y7" s="2" t="s">
        <v>80</v>
      </c>
      <c r="Z7" s="59" t="str">
        <f>IF(OR(G13="ordinaire",G13="à choisir"),"ordinaire","")</f>
        <v>ordinaire</v>
      </c>
      <c r="AA7" s="59"/>
      <c r="AB7" s="59" t="s">
        <v>81</v>
      </c>
      <c r="AD7" s="59" t="e">
        <f>IF(C16="Salaire horaire",IF(OR(M8&lt;21.6,M8&gt;56.5),"non",IF(M13="","oui",IF(OR(M13&lt;21.6,M13&gt;56.5),"non","oui"))),IF(C17="non",IF(AD9&lt;3930,"non","oui"),IF(AD10&lt;3630,"non","oui")))</f>
        <v>#DIV/0!</v>
      </c>
      <c r="AF7" s="5" t="s">
        <v>82</v>
      </c>
      <c r="AG7" s="49">
        <v>0</v>
      </c>
      <c r="AH7" s="2" t="s">
        <v>83</v>
      </c>
    </row>
    <row r="8" spans="1:35" s="2" customFormat="1" ht="12" customHeight="1" x14ac:dyDescent="0.3">
      <c r="A8" s="2" t="s">
        <v>84</v>
      </c>
      <c r="C8" s="466"/>
      <c r="D8" s="466"/>
      <c r="E8" s="2" t="s">
        <v>85</v>
      </c>
      <c r="F8" s="466"/>
      <c r="G8" s="466"/>
      <c r="I8" s="5" t="str">
        <f>IF(AND($C$16="Salaire horaire",OR(H10="à choisir",G10="non")),"Salaire horaire (avec suppl. vacances)",IF(AND($C$16="Salaire horaire",$G$10="oui"),"Salaire horaire I (avec suppl. vacances)",IF(C16="Salaire mensuel","Salaire mensuel","")))</f>
        <v/>
      </c>
      <c r="L8" s="4">
        <v>0</v>
      </c>
      <c r="M8" s="249"/>
      <c r="S8" s="253" t="s">
        <v>86</v>
      </c>
      <c r="T8" s="255">
        <f>IF(F7="",0,IF(DATEDIF($F$7,$A$21,"Y")&lt;18,0,Grundlagen!$B$5))</f>
        <v>0</v>
      </c>
      <c r="U8" s="254"/>
      <c r="W8" s="427"/>
      <c r="X8" s="2" t="s">
        <v>87</v>
      </c>
      <c r="Y8" s="59" t="s">
        <v>88</v>
      </c>
      <c r="Z8" s="59"/>
      <c r="AB8" s="59" t="s">
        <v>89</v>
      </c>
      <c r="AD8" s="2" t="e">
        <f>IF(C16="Salaire horaire",IF(OR(M8&lt;21.6,M8&gt;56.5,M13&lt;21.6,M13&gt;56.5),"non","oui"),IF(C17="non",IF(AD9&lt;10290.1,"non","oui"),IF(AD10&lt;9500.1,"non","oui")))</f>
        <v>#DIV/0!</v>
      </c>
      <c r="AF8" s="5"/>
      <c r="AG8" s="49"/>
      <c r="AH8" s="2" t="s">
        <v>90</v>
      </c>
    </row>
    <row r="9" spans="1:35" s="2" customFormat="1" ht="13" x14ac:dyDescent="0.3">
      <c r="A9" s="2" t="s">
        <v>91</v>
      </c>
      <c r="C9" s="466"/>
      <c r="D9" s="466"/>
      <c r="E9" s="2" t="s">
        <v>92</v>
      </c>
      <c r="F9" s="469" t="s">
        <v>73</v>
      </c>
      <c r="G9" s="469"/>
      <c r="I9" s="4" t="str">
        <f>IF($C$16="Salaire horaire","Suppl. vacances","")</f>
        <v/>
      </c>
      <c r="K9" s="4" t="str">
        <f>IF($C$16="Salaire horaire",(IF(L9=8.33%,"4 semaines","5 semaines")),"")</f>
        <v/>
      </c>
      <c r="L9" s="48" t="str">
        <f>IF($C$16="Salaire horaire",(IF(OR((DATEDIF($F$7,$C$21,"Y")&lt;20),(DATEDIF($F$7,$C$21,"Y")&gt;49)),10.64%,8.33%)),"")</f>
        <v/>
      </c>
      <c r="M9" s="247" t="str">
        <f>IF($C$16="Salaire horaire",M8/(1+L9)*L9,"")</f>
        <v/>
      </c>
      <c r="N9" s="6" t="str">
        <f>IF(C16="Salaire horaire","Conversion des engagements de nuit en heures","")</f>
        <v/>
      </c>
      <c r="S9" s="253" t="s">
        <v>93</v>
      </c>
      <c r="T9" s="255">
        <f>IF(F7="",0,IF(DATEDIF($F$7,$A$21,"Y")&lt;18,0,IF($C$67="oui",0,Grundlagen!$B$6)))</f>
        <v>0</v>
      </c>
      <c r="U9" s="256"/>
      <c r="W9" s="428"/>
      <c r="Y9" s="75">
        <f>IF(G13="à choisir",0,IF(AND(Z6="simplifiée",'PA 2'!Z6="simplifiée",'PA 3'!Z6="simplifiée",'PA 4'!Z6="simplifiée",'PA 5'!Z6="simplifiée",'PA 6'!Z6="simplifiée",'PA 7'!Z6="simplifiée",'PA 8'!Z6="simplifiée",'PA 9'!Z6="simplifiée"),IF(DATEDIF($F$7,D21,"Y")&lt;17,0%,5%),0%))</f>
        <v>0</v>
      </c>
      <c r="Z9" s="59"/>
      <c r="AB9" s="59" t="s">
        <v>94</v>
      </c>
      <c r="AD9" s="59" t="e">
        <f>ROUND(M8/L7,0)</f>
        <v>#DIV/0!</v>
      </c>
      <c r="AF9" s="5"/>
      <c r="AG9" s="49"/>
    </row>
    <row r="10" spans="1:35" s="2" customFormat="1" ht="13" x14ac:dyDescent="0.3">
      <c r="A10" s="2" t="s">
        <v>95</v>
      </c>
      <c r="C10" s="378" t="s">
        <v>73</v>
      </c>
      <c r="E10" s="2" t="str">
        <f>IF(C16="Salaire horaire","Avez-vous 2 différents sal. horaire?","")</f>
        <v/>
      </c>
      <c r="G10" s="391"/>
      <c r="H10" s="176" t="str">
        <f>IF(G10&gt;1,"",IF(C16="Salaire horaire","à choisir",""))</f>
        <v/>
      </c>
      <c r="I10" s="5" t="str">
        <f>IF(AND($C$16="Salaire horaire",OR(H10="à choisir",G10="non")),"Salaire horaire (sans Suppl. vacances)",IF(AND($C$16="Salaire horaire",$G$10="oui"),"Salaire horaire I (sans Suppl. vacances)",""))</f>
        <v/>
      </c>
      <c r="M10" s="248" t="str">
        <f>IF($C$16="Salaire horaire",M8-M9,"")</f>
        <v/>
      </c>
      <c r="N10" s="2" t="str">
        <f>IF(C16="Salaire horaire","1 nuit correspond à","")</f>
        <v/>
      </c>
      <c r="P10" s="268"/>
      <c r="Q10" s="2" t="str">
        <f>IF(C16="Salaire horaire","heures","")</f>
        <v/>
      </c>
      <c r="S10" s="253"/>
      <c r="T10" s="255"/>
      <c r="U10" s="256"/>
      <c r="W10" s="1"/>
      <c r="X10" s="6" t="s">
        <v>96</v>
      </c>
      <c r="Y10" s="6" t="s">
        <v>97</v>
      </c>
      <c r="Z10" s="64" t="s">
        <v>98</v>
      </c>
      <c r="AB10" s="59" t="s">
        <v>99</v>
      </c>
      <c r="AD10" s="59" t="e">
        <f>ROUND(M8/L7,0)</f>
        <v>#DIV/0!</v>
      </c>
    </row>
    <row r="11" spans="1:35" s="2" customFormat="1" ht="13.5" customHeight="1" x14ac:dyDescent="0.3">
      <c r="A11" s="2" t="s">
        <v>100</v>
      </c>
      <c r="C11" s="378"/>
      <c r="E11" s="2" t="s">
        <v>101</v>
      </c>
      <c r="G11" s="381" t="s">
        <v>73</v>
      </c>
      <c r="S11" s="253" t="s">
        <v>102</v>
      </c>
      <c r="T11" s="387"/>
      <c r="U11" s="257" t="s">
        <v>103</v>
      </c>
      <c r="W11" s="1"/>
      <c r="X11" s="2" t="s">
        <v>73</v>
      </c>
      <c r="Y11" s="2" t="str">
        <f>IF(C16="Salaire mensuel","oui","")</f>
        <v/>
      </c>
      <c r="Z11" s="188">
        <f>IF(G13="simplifiée",126.8%,0)</f>
        <v>0</v>
      </c>
      <c r="AB11" s="59" t="s">
        <v>104</v>
      </c>
      <c r="AD11" s="59"/>
    </row>
    <row r="12" spans="1:35" s="2" customFormat="1" ht="13.5" customHeight="1" x14ac:dyDescent="0.3">
      <c r="A12" s="2" t="s">
        <v>105</v>
      </c>
      <c r="C12" s="378"/>
      <c r="E12" s="2" t="s">
        <v>106</v>
      </c>
      <c r="G12" s="381" t="s">
        <v>73</v>
      </c>
      <c r="I12" s="2" t="str">
        <f>IF(G10="oui","Taux d'occupation II","")</f>
        <v/>
      </c>
      <c r="L12" s="224"/>
      <c r="M12" s="246">
        <f>42*L12</f>
        <v>0</v>
      </c>
      <c r="S12" s="253"/>
      <c r="T12" s="1"/>
      <c r="U12" s="254"/>
      <c r="W12" s="1"/>
      <c r="X12" s="2" t="s">
        <v>107</v>
      </c>
      <c r="Y12" s="2" t="str">
        <f>IF(C16="Salaire mensuel","non","")</f>
        <v/>
      </c>
      <c r="Z12" s="188">
        <f>IF(AND(G13="ordinaire",T15=0,T16=0),119.9%,0)</f>
        <v>0</v>
      </c>
      <c r="AA12" s="59"/>
      <c r="AB12" s="59" t="s">
        <v>108</v>
      </c>
      <c r="AC12" s="64" t="s">
        <v>109</v>
      </c>
      <c r="AD12" s="59"/>
    </row>
    <row r="13" spans="1:35" s="2" customFormat="1" ht="12.75" customHeight="1" x14ac:dyDescent="0.3">
      <c r="A13" s="2" t="s">
        <v>110</v>
      </c>
      <c r="C13" s="378"/>
      <c r="E13" s="2" t="s">
        <v>111</v>
      </c>
      <c r="G13" s="381" t="s">
        <v>73</v>
      </c>
      <c r="I13" s="5" t="str">
        <f>IF(G10="oui","Salaire horaire II (avec Suppl. vacances)","")</f>
        <v/>
      </c>
      <c r="L13" s="4"/>
      <c r="M13" s="249"/>
      <c r="S13" s="253" t="s">
        <v>112</v>
      </c>
      <c r="T13" s="388"/>
      <c r="U13" s="257" t="s">
        <v>103</v>
      </c>
      <c r="W13" s="425"/>
      <c r="X13" s="2" t="s">
        <v>113</v>
      </c>
      <c r="Y13" s="2">
        <f>IF(C17="oui",M8/12,0)</f>
        <v>0</v>
      </c>
      <c r="Z13" s="188">
        <f>IF(OR(T15&gt;0,T16&gt;0),129.2%,0)</f>
        <v>0</v>
      </c>
      <c r="AA13" s="59"/>
      <c r="AB13" s="59" t="s">
        <v>114</v>
      </c>
      <c r="AC13" s="59" t="s">
        <v>83</v>
      </c>
      <c r="AD13" s="59"/>
    </row>
    <row r="14" spans="1:35" s="2" customFormat="1" ht="12.75" customHeight="1" x14ac:dyDescent="0.3">
      <c r="A14" s="2" t="s">
        <v>115</v>
      </c>
      <c r="C14" s="379"/>
      <c r="E14" s="2" t="s">
        <v>116</v>
      </c>
      <c r="F14" s="466"/>
      <c r="G14" s="466"/>
      <c r="I14" s="4" t="str">
        <f>IF(G10="oui","Suppl. vacances","")</f>
        <v/>
      </c>
      <c r="K14" s="4" t="str">
        <f>IF($G$10="oui",(IF(L14=8.33%,"4 semaines","5 semaines")),"")</f>
        <v/>
      </c>
      <c r="L14" s="48" t="str">
        <f>IF(G10="oui",(IF(OR((DATEDIF($F$7,$C$21,"Y")&lt;20),(DATEDIF($F$7,$C$21,"Y")&gt;49)),10.64%,8.33%)),"")</f>
        <v/>
      </c>
      <c r="M14" s="247" t="str">
        <f>IF(G10="oui",M13/(1+L14)*L14,"")</f>
        <v/>
      </c>
      <c r="S14" s="258"/>
      <c r="T14" s="1"/>
      <c r="U14" s="254"/>
      <c r="W14" s="425"/>
      <c r="Y14" s="157">
        <f>M8</f>
        <v>0</v>
      </c>
      <c r="Z14" s="188">
        <f>SUM(Z11:Z13)</f>
        <v>0</v>
      </c>
      <c r="AA14" s="59"/>
      <c r="AB14" s="58" t="s">
        <v>117</v>
      </c>
      <c r="AC14" s="59" t="s">
        <v>90</v>
      </c>
      <c r="AD14" s="59"/>
    </row>
    <row r="15" spans="1:35" s="2" customFormat="1" ht="12.75" customHeight="1" x14ac:dyDescent="0.3">
      <c r="A15" s="2" t="s">
        <v>118</v>
      </c>
      <c r="C15" s="379"/>
      <c r="E15" s="2" t="s">
        <v>119</v>
      </c>
      <c r="F15" s="466"/>
      <c r="G15" s="466"/>
      <c r="I15" s="5" t="str">
        <f>IF(G10="oui","Salaire horaire II (sans Suppl. vacances)","")</f>
        <v/>
      </c>
      <c r="M15" s="248" t="str">
        <f>IF(G10="oui",M13-M14,"")</f>
        <v/>
      </c>
      <c r="S15" s="253" t="s">
        <v>120</v>
      </c>
      <c r="T15" s="389"/>
      <c r="U15" s="259" t="s">
        <v>121</v>
      </c>
      <c r="W15" s="1"/>
      <c r="Y15" s="2">
        <f>SUM(Y13:Y14)</f>
        <v>0</v>
      </c>
      <c r="Z15" s="59"/>
      <c r="AA15" s="59"/>
      <c r="AB15" s="59" t="s">
        <v>122</v>
      </c>
      <c r="AD15" s="59"/>
    </row>
    <row r="16" spans="1:35" s="2" customFormat="1" ht="12.75" customHeight="1" thickBot="1" x14ac:dyDescent="0.35">
      <c r="A16" s="2" t="s">
        <v>123</v>
      </c>
      <c r="C16" s="378" t="s">
        <v>73</v>
      </c>
      <c r="E16" s="2" t="s">
        <v>124</v>
      </c>
      <c r="F16" s="466"/>
      <c r="G16" s="466"/>
      <c r="S16" s="260" t="s">
        <v>125</v>
      </c>
      <c r="T16" s="390"/>
      <c r="U16" s="261" t="s">
        <v>126</v>
      </c>
      <c r="W16" s="1"/>
      <c r="Z16" s="59"/>
      <c r="AA16" s="59"/>
      <c r="AB16" s="58" t="s">
        <v>127</v>
      </c>
      <c r="AC16" s="59"/>
      <c r="AD16" s="59"/>
    </row>
    <row r="17" spans="1:37" s="2" customFormat="1" ht="12.75" customHeight="1" thickBot="1" x14ac:dyDescent="0.35">
      <c r="A17" s="2" t="str">
        <f>IF(C16="Salaire mensuel","13ème salaire","")</f>
        <v/>
      </c>
      <c r="C17" s="329"/>
      <c r="D17" s="176" t="str">
        <f>IF(C17&gt;1,"",IF(A17="13ème salaire","à choisir",""))</f>
        <v/>
      </c>
      <c r="E17" s="422" t="s">
        <v>128</v>
      </c>
      <c r="F17" s="423" t="str">
        <f>IF($F$7="","",IF($C$10="masculin",DATE(YEAR($F$7)+65,MONTH($F$7)+1,1),IF($C$10="féminin",DATE(YEAR($F$7)+64,MONTH($F$7)+1+VLOOKUP(YEAR($F$7),Grundlagen!$F$1:$G$26,2,TRUE),1),"")))</f>
        <v/>
      </c>
      <c r="H17" s="175"/>
      <c r="W17" s="1"/>
      <c r="X17" s="59"/>
      <c r="Y17" s="59"/>
      <c r="Z17" s="59"/>
      <c r="AA17" s="59"/>
      <c r="AB17" s="59" t="s">
        <v>129</v>
      </c>
      <c r="AC17" s="59"/>
      <c r="AD17" s="59"/>
    </row>
    <row r="18" spans="1:37" s="2" customFormat="1" ht="12" customHeight="1" x14ac:dyDescent="0.3">
      <c r="H18" s="175"/>
      <c r="M18" s="175"/>
      <c r="S18" s="484" t="s">
        <v>130</v>
      </c>
      <c r="T18" s="485"/>
      <c r="U18" s="486"/>
      <c r="V18" s="340"/>
      <c r="X18" s="158"/>
      <c r="Y18" s="159"/>
      <c r="Z18" s="59"/>
      <c r="AA18" s="59"/>
      <c r="AB18" s="59" t="s">
        <v>131</v>
      </c>
      <c r="AC18" s="59"/>
      <c r="AD18" s="59"/>
      <c r="AE18" s="59"/>
    </row>
    <row r="19" spans="1:37" s="2" customFormat="1" ht="14" x14ac:dyDescent="0.3">
      <c r="A19" s="41" t="s">
        <v>132</v>
      </c>
      <c r="B19" s="41"/>
      <c r="C19" s="52"/>
      <c r="D19" s="52"/>
      <c r="E19" s="52"/>
      <c r="F19" s="52"/>
      <c r="G19" s="52"/>
      <c r="H19" s="52"/>
      <c r="I19" s="41" t="str">
        <f>$A$19</f>
        <v>Décompte de salaire</v>
      </c>
      <c r="J19" s="41"/>
      <c r="K19" s="52"/>
      <c r="L19" s="52"/>
      <c r="M19" s="52"/>
      <c r="N19" s="52"/>
      <c r="O19" s="52"/>
      <c r="P19" s="52"/>
      <c r="Q19" s="52"/>
      <c r="S19" s="262"/>
      <c r="U19" s="263"/>
      <c r="X19" s="158"/>
      <c r="Y19" s="159"/>
      <c r="Z19" s="59"/>
      <c r="AA19" s="59"/>
      <c r="AB19" s="59" t="s">
        <v>133</v>
      </c>
      <c r="AC19" s="59"/>
      <c r="AD19" s="59"/>
      <c r="AE19" s="59"/>
    </row>
    <row r="20" spans="1:37" s="2" customFormat="1" ht="5.15" customHeight="1" thickBot="1" x14ac:dyDescent="0.3">
      <c r="C20" s="80"/>
      <c r="D20" s="81"/>
      <c r="E20" s="5"/>
      <c r="F20" s="5"/>
      <c r="G20" s="5"/>
      <c r="H20" s="49"/>
      <c r="I20" s="49"/>
      <c r="K20" s="49"/>
      <c r="S20" s="481">
        <f>IF(F7="",0,IF(OR(G13="ordinaire",G13="à choisir"),0,(IF(G13="simplifiée",IF(OR($F$9="Conjoint-e",$F$9="Enfant",$F$9="Partenariat enrégistré"),"Ni la conjointe ou le conjoint de l’employeur ni ses enfants ne peuvent utiliser la procédure de décompte AVS simplifiée.",IF(OR(Q38+Q39&gt;Grundlagen!$B$8-0.01,U2&gt;Grundlagen!$B$8-0.01),"La procédure de décompte simplifiée ne peut pas être appliquée si le salaire annuel est supérieur à CHF"&amp;Grundlagen!$B$8&amp;"!",IF(AA6="oui","La procédure de décompte simplifiée ne peut pas être appliquée si la masse salariale totale est supérieure à CHF "&amp;Grundlagen!$B$9&amp;"!",IF(DATEDIF($F$7,$A$21,"Y")&lt;19,0,IF(G13="ordinaire",0,0)))))))))</f>
        <v>0</v>
      </c>
      <c r="T20" s="482"/>
      <c r="U20" s="483"/>
      <c r="V20" s="370"/>
      <c r="X20" s="158"/>
      <c r="Y20" s="159"/>
      <c r="Z20" s="59"/>
      <c r="AA20" s="59"/>
      <c r="AB20" s="59"/>
      <c r="AD20" s="59"/>
      <c r="AE20" s="59"/>
    </row>
    <row r="21" spans="1:37" s="2" customFormat="1" ht="15" customHeight="1" x14ac:dyDescent="0.25">
      <c r="A21" s="310">
        <f>Grundlagen!$C$1</f>
        <v>46387</v>
      </c>
      <c r="B21" s="269"/>
      <c r="C21" s="82">
        <f>Grundlagen!$B$1</f>
        <v>46023</v>
      </c>
      <c r="D21" s="82">
        <f>DATE(YEAR(C21),MONTH(C21)+1,1)</f>
        <v>46054</v>
      </c>
      <c r="E21" s="82">
        <f t="shared" ref="E21:H21" si="0">DATE(YEAR(D21),MONTH(D21)+1,1)</f>
        <v>46082</v>
      </c>
      <c r="F21" s="82">
        <f t="shared" si="0"/>
        <v>46113</v>
      </c>
      <c r="G21" s="82">
        <f t="shared" si="0"/>
        <v>46143</v>
      </c>
      <c r="H21" s="69">
        <f t="shared" si="0"/>
        <v>46174</v>
      </c>
      <c r="I21" s="310">
        <f t="shared" ref="I21:I22" si="1">A21</f>
        <v>46387</v>
      </c>
      <c r="J21" s="269"/>
      <c r="K21" s="82">
        <f>DATE(YEAR(H21),MONTH(H21)+1,1)</f>
        <v>46204</v>
      </c>
      <c r="L21" s="82">
        <f>DATE(YEAR(K21),MONTH(K21)+1,1)</f>
        <v>46235</v>
      </c>
      <c r="M21" s="82">
        <f t="shared" ref="M21:P21" si="2">DATE(YEAR(L21),MONTH(L21)+1,1)</f>
        <v>46266</v>
      </c>
      <c r="N21" s="82">
        <f t="shared" si="2"/>
        <v>46296</v>
      </c>
      <c r="O21" s="82">
        <f t="shared" si="2"/>
        <v>46327</v>
      </c>
      <c r="P21" s="69">
        <f t="shared" si="2"/>
        <v>46357</v>
      </c>
      <c r="Q21" s="97" t="s">
        <v>134</v>
      </c>
      <c r="S21" s="481"/>
      <c r="T21" s="482"/>
      <c r="U21" s="483"/>
      <c r="V21" s="370"/>
      <c r="W21" s="2">
        <f>IF(S20=0,0,5)</f>
        <v>0</v>
      </c>
      <c r="X21" s="158"/>
      <c r="Y21" s="159"/>
      <c r="Z21" s="59"/>
      <c r="AA21" s="59"/>
      <c r="AB21" s="59"/>
      <c r="AC21" s="59"/>
      <c r="AD21" s="59"/>
      <c r="AE21" s="59"/>
    </row>
    <row r="22" spans="1:37" s="2" customFormat="1" ht="15" customHeight="1" x14ac:dyDescent="0.25">
      <c r="A22" s="311" t="str">
        <f>IF($C$16="Salaire horaire","",IF(C16="à choisir","","Salaire mensuel"))</f>
        <v/>
      </c>
      <c r="B22" s="270" t="str">
        <f>IF(A22="Salaire mensuel","CHF"," ")</f>
        <v xml:space="preserve"> </v>
      </c>
      <c r="C22" s="286">
        <f t="shared" ref="C22:H22" si="3">IF(OR($C$16="Salaire horaire",$C$16="à choisir"),0,IF($C$16="Salaire mensuel",(IF(OR(MONTH(IF($C$14&lt;$C$21,$C$21,$C$14))&gt;MONTH(C21),MONTH(IF($C$15="",$A$21,$C$15))&lt;MONTH(C21)),0,$M$8))))</f>
        <v>0</v>
      </c>
      <c r="D22" s="286">
        <f t="shared" si="3"/>
        <v>0</v>
      </c>
      <c r="E22" s="286">
        <f t="shared" si="3"/>
        <v>0</v>
      </c>
      <c r="F22" s="286">
        <f t="shared" si="3"/>
        <v>0</v>
      </c>
      <c r="G22" s="286">
        <f t="shared" si="3"/>
        <v>0</v>
      </c>
      <c r="H22" s="287">
        <f t="shared" si="3"/>
        <v>0</v>
      </c>
      <c r="I22" s="312" t="str">
        <f t="shared" si="1"/>
        <v/>
      </c>
      <c r="J22" s="270" t="str">
        <f>IF(I22="Salaire mensuel","CHF"," ")</f>
        <v xml:space="preserve"> </v>
      </c>
      <c r="K22" s="286">
        <f t="shared" ref="K22:P22" si="4">IF(OR($C$16="Salaire horaire",$C$16="à choisir"),0,IF($C$16="Salaire mensuel",(IF(OR(MONTH(IF($C$14&lt;$C$21,$C$21,$C$14))&gt;MONTH(K21),MONTH(IF($C$15="",$A$21,$C$15))&lt;MONTH(K21)),0,$M$8))))</f>
        <v>0</v>
      </c>
      <c r="L22" s="286">
        <f t="shared" si="4"/>
        <v>0</v>
      </c>
      <c r="M22" s="286">
        <f t="shared" si="4"/>
        <v>0</v>
      </c>
      <c r="N22" s="286">
        <f t="shared" si="4"/>
        <v>0</v>
      </c>
      <c r="O22" s="286">
        <f t="shared" si="4"/>
        <v>0</v>
      </c>
      <c r="P22" s="287">
        <f t="shared" si="4"/>
        <v>0</v>
      </c>
      <c r="Q22" s="302">
        <f t="shared" ref="Q22" si="5">ROUND((SUM(C22:H22)+SUM(K22:P22))*20,0)/20</f>
        <v>0</v>
      </c>
      <c r="S22" s="481"/>
      <c r="T22" s="482"/>
      <c r="U22" s="483"/>
      <c r="V22" s="370"/>
      <c r="X22" s="158"/>
      <c r="Y22" s="159"/>
      <c r="Z22" s="59"/>
      <c r="AA22" s="59"/>
      <c r="AB22" s="59"/>
      <c r="AC22" s="59"/>
      <c r="AD22" s="59"/>
      <c r="AE22" s="59"/>
    </row>
    <row r="23" spans="1:37" s="2" customFormat="1" ht="15" customHeight="1" x14ac:dyDescent="0.25">
      <c r="A23" s="311" t="str">
        <f>IF($C$16="Salaire horaire","",(IF($C$17="oui","13. Salaire mensuel","")))</f>
        <v/>
      </c>
      <c r="B23" s="270" t="str">
        <f>IF(A23="13. Salaire mensuel","CHF"," ")</f>
        <v xml:space="preserve"> </v>
      </c>
      <c r="C23" s="286">
        <f t="shared" ref="C23:H23" si="6">IF(OR($C$16="Salaire horaire",$C$16="à choisir"),0,(IF($C$17="oui",(C$22+C32+C33)/12,"")))</f>
        <v>0</v>
      </c>
      <c r="D23" s="288">
        <f t="shared" si="6"/>
        <v>0</v>
      </c>
      <c r="E23" s="288">
        <f t="shared" si="6"/>
        <v>0</v>
      </c>
      <c r="F23" s="288">
        <f t="shared" si="6"/>
        <v>0</v>
      </c>
      <c r="G23" s="288">
        <f t="shared" si="6"/>
        <v>0</v>
      </c>
      <c r="H23" s="287">
        <f t="shared" si="6"/>
        <v>0</v>
      </c>
      <c r="I23" s="312" t="str">
        <f t="shared" ref="I23:I52" si="7">A23</f>
        <v/>
      </c>
      <c r="J23" s="270" t="str">
        <f>IF(I23="13. Salaire mensuel","CHF"," ")</f>
        <v xml:space="preserve"> </v>
      </c>
      <c r="K23" s="288">
        <f t="shared" ref="K23:P23" si="8">IF(OR($C$16="Salaire horaire",$C$16="à choisir"),0,(IF($C$17="oui",(K$22+K32+K33)/12,"")))</f>
        <v>0</v>
      </c>
      <c r="L23" s="288">
        <f t="shared" si="8"/>
        <v>0</v>
      </c>
      <c r="M23" s="288">
        <f t="shared" si="8"/>
        <v>0</v>
      </c>
      <c r="N23" s="303">
        <f t="shared" si="8"/>
        <v>0</v>
      </c>
      <c r="O23" s="288">
        <f t="shared" si="8"/>
        <v>0</v>
      </c>
      <c r="P23" s="287">
        <f t="shared" si="8"/>
        <v>0</v>
      </c>
      <c r="Q23" s="240">
        <f t="shared" ref="Q23:Q37" si="9">ROUND((SUM(C23:H23)+SUM(K23:P23))*20,0)/20</f>
        <v>0</v>
      </c>
      <c r="S23" s="262"/>
      <c r="U23" s="263"/>
      <c r="Y23" s="58"/>
      <c r="Z23" s="58"/>
      <c r="AA23" s="58"/>
      <c r="AB23" s="58"/>
      <c r="AC23" s="58"/>
      <c r="AD23" s="58"/>
      <c r="AE23" s="58"/>
      <c r="AF23" s="58"/>
    </row>
    <row r="24" spans="1:37" s="2" customFormat="1" ht="15" customHeight="1" x14ac:dyDescent="0.25">
      <c r="A24" s="444" t="str">
        <f>IF(G11="oui","Nombre d'heures 
de garde","")</f>
        <v/>
      </c>
      <c r="B24" s="447" t="str">
        <f>IF(A24="Nombre d'heures 
de garde","h"," ")</f>
        <v xml:space="preserve"> </v>
      </c>
      <c r="C24" s="288"/>
      <c r="D24" s="288"/>
      <c r="E24" s="288"/>
      <c r="F24" s="288"/>
      <c r="G24" s="288"/>
      <c r="H24" s="287"/>
      <c r="I24" s="311" t="str">
        <f t="shared" si="7"/>
        <v/>
      </c>
      <c r="J24" s="330" t="str">
        <f>B24</f>
        <v xml:space="preserve"> </v>
      </c>
      <c r="K24" s="288"/>
      <c r="L24" s="288"/>
      <c r="M24" s="288"/>
      <c r="N24" s="288"/>
      <c r="O24" s="288"/>
      <c r="P24" s="287"/>
      <c r="Q24" s="304">
        <f t="shared" si="9"/>
        <v>0</v>
      </c>
      <c r="S24" s="481">
        <f>IF(OR(AND(Z6="simplifiée",'PA 2'!Z6="simplifiée",'PA 3'!Z6="simplifiée",'PA 4'!Z6="simplifiée",'PA 5'!Z6="simplifiée",'PA 6'!Z6="simplifiée",'PA 7'!Z6="simplifiée",'PA 8'!Z6="simplifiée",'PA 9'!Z6="simplifiée"),(AND(Z7="ordinaire",'PA 2'!Z7="ordinaire",'PA 3'!Z7="ordinaire",'PA 4'!Z7="ordinaire",'PA 5'!Z7="ordinaire",'PA 6'!Z7="ordinaire",'PA 7'!Z7="ordinaire",'PA 8'!Z7="ordinaire",'PA 9'!Z7="ordinaire"))),0,"ATTENTION: la même procédure de décompte AVS doit être utilisée pour tous les prestataires d’assistance!")</f>
        <v>0</v>
      </c>
      <c r="T24" s="482"/>
      <c r="U24" s="483"/>
      <c r="V24" s="370"/>
      <c r="Y24" s="58"/>
      <c r="Z24" s="58"/>
      <c r="AA24" s="58"/>
      <c r="AB24" s="58"/>
      <c r="AC24" s="58"/>
      <c r="AD24" s="58"/>
      <c r="AE24" s="58"/>
      <c r="AF24" s="58"/>
    </row>
    <row r="25" spans="1:37" s="6" customFormat="1" ht="13" x14ac:dyDescent="0.3">
      <c r="A25" s="450" t="str">
        <f>IF(AND(C16="Salaire mensuel",G12="oui"),"Nombre d'engagements de nuit",IF(P10&gt;0.1,"Nombre d'engagements de nuit",""))</f>
        <v/>
      </c>
      <c r="B25" s="270" t="str">
        <f>IF(A25="Nombre d'engagements de nuit","Nb."," ")</f>
        <v xml:space="preserve"> </v>
      </c>
      <c r="C25" s="289"/>
      <c r="D25" s="289"/>
      <c r="E25" s="289"/>
      <c r="F25" s="289"/>
      <c r="G25" s="289"/>
      <c r="H25" s="290"/>
      <c r="I25" s="450" t="str">
        <f t="shared" si="7"/>
        <v/>
      </c>
      <c r="J25" s="270" t="str">
        <f>B25</f>
        <v xml:space="preserve"> </v>
      </c>
      <c r="K25" s="289"/>
      <c r="L25" s="289"/>
      <c r="M25" s="289"/>
      <c r="N25" s="289"/>
      <c r="O25" s="289"/>
      <c r="P25" s="305"/>
      <c r="Q25" s="302">
        <f t="shared" si="9"/>
        <v>0</v>
      </c>
      <c r="R25" s="76"/>
      <c r="S25" s="481"/>
      <c r="T25" s="482"/>
      <c r="U25" s="483"/>
      <c r="V25" s="370"/>
      <c r="W25" s="2">
        <f>IF(S24&gt;1,5,0)</f>
        <v>0</v>
      </c>
      <c r="X25" s="102"/>
      <c r="Y25" s="99"/>
      <c r="Z25" s="100"/>
      <c r="AA25" s="77"/>
      <c r="AB25" s="77"/>
      <c r="AC25" s="77"/>
      <c r="AD25" s="77"/>
      <c r="AE25" s="77"/>
      <c r="AF25" s="77"/>
    </row>
    <row r="26" spans="1:37" s="6" customFormat="1" ht="15" customHeight="1" x14ac:dyDescent="0.3">
      <c r="A26" s="312" t="str">
        <f>IF(AND($C$16="Salaire mensuel",$G$12="oui"),"Nombre d'heures",IF(C16="Salaire horaire",IF(G10="oui","Nombre d'heures I","Nombre d'heures"),""))</f>
        <v/>
      </c>
      <c r="B26" s="271" t="str">
        <f>IF(OR(A26="Nombre d'heures Standard",A26="Nombre d'heures",A26="Nombre d'heures I"),"h"," ")</f>
        <v xml:space="preserve"> </v>
      </c>
      <c r="C26" s="288"/>
      <c r="D26" s="288"/>
      <c r="E26" s="288"/>
      <c r="F26" s="288"/>
      <c r="G26" s="288"/>
      <c r="H26" s="287"/>
      <c r="I26" s="312" t="str">
        <f t="shared" si="7"/>
        <v/>
      </c>
      <c r="J26" s="271" t="str">
        <f>IF(OR(I26="Nombre d'heures Standard",I26="Nombre d'heures",I26="Nombre d'heures I"),"h"," ")</f>
        <v xml:space="preserve"> </v>
      </c>
      <c r="K26" s="288"/>
      <c r="L26" s="288"/>
      <c r="M26" s="288"/>
      <c r="N26" s="288"/>
      <c r="O26" s="288"/>
      <c r="P26" s="287"/>
      <c r="Q26" s="304">
        <f t="shared" si="9"/>
        <v>0</v>
      </c>
      <c r="R26" s="76"/>
      <c r="S26" s="481"/>
      <c r="T26" s="482"/>
      <c r="U26" s="483"/>
      <c r="V26" s="370"/>
      <c r="W26" s="76"/>
      <c r="X26" s="102"/>
      <c r="Y26" s="99"/>
      <c r="Z26" s="59"/>
      <c r="AA26" s="77"/>
      <c r="AB26" s="77"/>
      <c r="AC26" s="77"/>
      <c r="AD26" s="77"/>
      <c r="AE26" s="77"/>
      <c r="AF26" s="77"/>
    </row>
    <row r="27" spans="1:37" s="6" customFormat="1" ht="15" customHeight="1" x14ac:dyDescent="0.3">
      <c r="A27" s="312" t="str">
        <f>IF($C$16="Salaire horaire",IF(G10="oui","Salaire horaire I","Salaire horaire"),"")</f>
        <v/>
      </c>
      <c r="B27" s="270" t="str">
        <f>IF(OR(A27="Salaire horaire Standard",A27="Salaire horaire",A27="Salaire horaire I"),"CHF"," ")</f>
        <v xml:space="preserve"> </v>
      </c>
      <c r="C27" s="237" t="str">
        <f t="shared" ref="C27:H27" si="10">IF($C$16="Salaire horaire",(IF(OR((DATEDIF($F$7,C21,"Y")&lt;20),(DATEDIF($F$7,C21,"Y")&gt;49)),$M$8/110.64%*(C26+C24*$P$7+C25*$P$10),$M$8/108.33%*(C26+C24*$P$7+C25*$P$10))),"")</f>
        <v/>
      </c>
      <c r="D27" s="237" t="str">
        <f t="shared" si="10"/>
        <v/>
      </c>
      <c r="E27" s="237" t="str">
        <f t="shared" si="10"/>
        <v/>
      </c>
      <c r="F27" s="237" t="str">
        <f t="shared" si="10"/>
        <v/>
      </c>
      <c r="G27" s="237" t="str">
        <f t="shared" si="10"/>
        <v/>
      </c>
      <c r="H27" s="238" t="str">
        <f t="shared" si="10"/>
        <v/>
      </c>
      <c r="I27" s="312" t="str">
        <f t="shared" si="7"/>
        <v/>
      </c>
      <c r="J27" s="270" t="str">
        <f>IF(OR(I27="Salaire horaire Standard",I27="Salaire horaire",I27="Salaire horaire I"),"CHF"," ")</f>
        <v xml:space="preserve"> </v>
      </c>
      <c r="K27" s="237" t="str">
        <f t="shared" ref="K27:P27" si="11">IF($C$16="Salaire horaire",(IF(OR((DATEDIF($F$7,K21,"Y")&lt;20),(DATEDIF($F$7,K21,"Y")&gt;49)),$M$8/110.64%*(K26+K24*$P$7+K25*$P$10),$M$8/108.33%*(K26+K24*$P$7+K25*$P$10))),"")</f>
        <v/>
      </c>
      <c r="L27" s="237" t="str">
        <f t="shared" si="11"/>
        <v/>
      </c>
      <c r="M27" s="237" t="str">
        <f t="shared" si="11"/>
        <v/>
      </c>
      <c r="N27" s="237" t="str">
        <f t="shared" si="11"/>
        <v/>
      </c>
      <c r="O27" s="237" t="str">
        <f t="shared" si="11"/>
        <v/>
      </c>
      <c r="P27" s="238" t="str">
        <f t="shared" si="11"/>
        <v/>
      </c>
      <c r="Q27" s="304">
        <f t="shared" si="9"/>
        <v>0</v>
      </c>
      <c r="R27" s="76"/>
      <c r="S27" s="262"/>
      <c r="T27" s="2"/>
      <c r="U27" s="263"/>
      <c r="V27" s="2"/>
      <c r="W27" s="76"/>
      <c r="X27" s="102"/>
      <c r="Y27" s="99"/>
      <c r="Z27" s="59"/>
      <c r="AA27" s="77"/>
      <c r="AB27" s="77"/>
      <c r="AC27" s="77"/>
      <c r="AD27" s="77"/>
      <c r="AE27" s="77"/>
      <c r="AF27" s="77"/>
    </row>
    <row r="28" spans="1:37" s="2" customFormat="1" ht="15" customHeight="1" x14ac:dyDescent="0.25">
      <c r="A28" s="312" t="str">
        <f>IF(G10="oui","Nombre d'heures II","")</f>
        <v/>
      </c>
      <c r="B28" s="271" t="str">
        <f>IF(OR(A28="Nombre d'heures Quali B",A28="Nombre d'heures II"),"h"," ")</f>
        <v xml:space="preserve"> </v>
      </c>
      <c r="C28" s="288"/>
      <c r="D28" s="288"/>
      <c r="E28" s="288"/>
      <c r="F28" s="288"/>
      <c r="G28" s="288"/>
      <c r="H28" s="287"/>
      <c r="I28" s="312" t="str">
        <f t="shared" si="7"/>
        <v/>
      </c>
      <c r="J28" s="271" t="str">
        <f>IF(OR(I28="Nombre d'heures Quali B",I28="Nombre d'heures II"),"h"," ")</f>
        <v xml:space="preserve"> </v>
      </c>
      <c r="K28" s="288"/>
      <c r="L28" s="288"/>
      <c r="M28" s="288"/>
      <c r="N28" s="303"/>
      <c r="O28" s="288"/>
      <c r="P28" s="287"/>
      <c r="Q28" s="304">
        <f t="shared" si="9"/>
        <v>0</v>
      </c>
      <c r="R28" s="78"/>
      <c r="S28" s="481">
        <f>IF(AND(AC6="oui",(G12="oui")),"ATTENTION: le salaire des proches ne doit pas ètre réglé avec la contribution d'assistance d l'AI",0)</f>
        <v>0</v>
      </c>
      <c r="T28" s="482"/>
      <c r="U28" s="483"/>
      <c r="V28" s="370"/>
      <c r="W28" s="78"/>
      <c r="X28" s="101"/>
      <c r="Y28" s="98"/>
    </row>
    <row r="29" spans="1:37" s="6" customFormat="1" ht="15" customHeight="1" x14ac:dyDescent="0.25">
      <c r="A29" s="312" t="str">
        <f>IF(G10="oui","Salaire horaire II","")</f>
        <v/>
      </c>
      <c r="B29" s="270" t="str">
        <f>IF(OR(A29="Salaire horaire Quali B",A29="Salaire horaire II"),"CHF"," ")</f>
        <v xml:space="preserve"> </v>
      </c>
      <c r="C29" s="237" t="str">
        <f t="shared" ref="C29:H29" si="12">IF($C$16="Salaire horaire",(IF(OR((DATEDIF($F$7,C21,"Y")&lt;20),(DATEDIF($F$7,C21,"Y")&gt;49)),$M$13/110.64%*(C28),$M$13/108.33%*(C28))),"")</f>
        <v/>
      </c>
      <c r="D29" s="237" t="str">
        <f t="shared" si="12"/>
        <v/>
      </c>
      <c r="E29" s="237" t="str">
        <f t="shared" si="12"/>
        <v/>
      </c>
      <c r="F29" s="237" t="str">
        <f t="shared" si="12"/>
        <v/>
      </c>
      <c r="G29" s="237" t="str">
        <f t="shared" si="12"/>
        <v/>
      </c>
      <c r="H29" s="238" t="str">
        <f t="shared" si="12"/>
        <v/>
      </c>
      <c r="I29" s="312" t="str">
        <f t="shared" si="7"/>
        <v/>
      </c>
      <c r="J29" s="270" t="str">
        <f>IF(OR(I29="Salaire horaire Quali B",I29="Salaire horaire II"),"CHF"," ")</f>
        <v xml:space="preserve"> </v>
      </c>
      <c r="K29" s="237" t="str">
        <f t="shared" ref="K29:P29" si="13">IF($C$16="Salaire horaire",(IF(OR((DATEDIF($F$7,K21,"Y")&lt;20),(DATEDIF($F$7,K21,"Y")&gt;49)),$M$13/110.64%*(K28),$M$13/108.33%*(K28))),"")</f>
        <v/>
      </c>
      <c r="L29" s="237" t="str">
        <f t="shared" si="13"/>
        <v/>
      </c>
      <c r="M29" s="237" t="str">
        <f t="shared" si="13"/>
        <v/>
      </c>
      <c r="N29" s="237" t="str">
        <f t="shared" si="13"/>
        <v/>
      </c>
      <c r="O29" s="237" t="str">
        <f t="shared" si="13"/>
        <v/>
      </c>
      <c r="P29" s="238" t="str">
        <f t="shared" si="13"/>
        <v/>
      </c>
      <c r="Q29" s="304">
        <f t="shared" si="9"/>
        <v>0</v>
      </c>
      <c r="R29" s="65"/>
      <c r="S29" s="481"/>
      <c r="T29" s="482"/>
      <c r="U29" s="483"/>
      <c r="V29" s="370"/>
      <c r="W29" s="2">
        <f>IF(S28&gt;1,5,0)</f>
        <v>0</v>
      </c>
      <c r="X29" s="103"/>
      <c r="Y29" s="98"/>
      <c r="Z29" s="59"/>
      <c r="AA29" s="59"/>
      <c r="AB29" s="59"/>
      <c r="AC29" s="59"/>
      <c r="AD29" s="59"/>
      <c r="AE29" s="59"/>
      <c r="AF29" s="59"/>
    </row>
    <row r="30" spans="1:37" s="6" customFormat="1" ht="15" customHeight="1" x14ac:dyDescent="0.25">
      <c r="A30" s="312" t="str">
        <f>IF($C$16="Salaire horaire","Supplément de vacances","")</f>
        <v/>
      </c>
      <c r="B30" s="270" t="str">
        <f>IF(A30="Supplément de vacances","CHF"," ")</f>
        <v xml:space="preserve"> </v>
      </c>
      <c r="C30" s="237">
        <f t="shared" ref="C30:H30" si="14">IF($C$16="Salaire horaire",(ROUND(IF(OR((DATEDIF($F$7,C$21,"Y")&lt;20),(DATEDIF($F$7,C$21,"Y")&gt;49)),(C$27+C$29)*10.64%,(C$27+C$29)*8.33%),2)),)</f>
        <v>0</v>
      </c>
      <c r="D30" s="237">
        <f t="shared" si="14"/>
        <v>0</v>
      </c>
      <c r="E30" s="237">
        <f t="shared" si="14"/>
        <v>0</v>
      </c>
      <c r="F30" s="237">
        <f t="shared" si="14"/>
        <v>0</v>
      </c>
      <c r="G30" s="237">
        <f t="shared" si="14"/>
        <v>0</v>
      </c>
      <c r="H30" s="238">
        <f t="shared" si="14"/>
        <v>0</v>
      </c>
      <c r="I30" s="312" t="str">
        <f t="shared" si="7"/>
        <v/>
      </c>
      <c r="J30" s="270" t="str">
        <f>IF(I30="Ferienzuschlag","CHF"," ")</f>
        <v xml:space="preserve"> </v>
      </c>
      <c r="K30" s="237">
        <f t="shared" ref="K30:P30" si="15">IF($C$16="Salaire horaire",(ROUND(IF(OR((DATEDIF($F$7,K$21,"Y")&lt;20),(DATEDIF($F$7,K$21,"Y")&gt;49)),(K$27+K$29)*10.64%,(K$27+K$29)*8.33%),2)),)</f>
        <v>0</v>
      </c>
      <c r="L30" s="237">
        <f t="shared" si="15"/>
        <v>0</v>
      </c>
      <c r="M30" s="237">
        <f t="shared" si="15"/>
        <v>0</v>
      </c>
      <c r="N30" s="237">
        <f t="shared" si="15"/>
        <v>0</v>
      </c>
      <c r="O30" s="237">
        <f t="shared" si="15"/>
        <v>0</v>
      </c>
      <c r="P30" s="238">
        <f t="shared" si="15"/>
        <v>0</v>
      </c>
      <c r="Q30" s="304">
        <f t="shared" si="9"/>
        <v>0</v>
      </c>
      <c r="R30" s="65"/>
      <c r="S30" s="481"/>
      <c r="T30" s="482"/>
      <c r="U30" s="483"/>
      <c r="V30" s="370"/>
      <c r="W30" s="65"/>
      <c r="X30" s="103"/>
      <c r="Y30" s="98"/>
      <c r="Z30" s="59"/>
      <c r="AA30" s="59"/>
      <c r="AB30" s="59"/>
      <c r="AC30" s="59"/>
      <c r="AD30" s="59"/>
      <c r="AE30" s="59"/>
      <c r="AF30" s="59"/>
    </row>
    <row r="31" spans="1:37" s="6" customFormat="1" x14ac:dyDescent="0.25">
      <c r="A31" s="313" t="s">
        <v>135</v>
      </c>
      <c r="B31" s="271" t="s">
        <v>136</v>
      </c>
      <c r="C31" s="382"/>
      <c r="D31" s="384"/>
      <c r="E31" s="384"/>
      <c r="F31" s="384"/>
      <c r="G31" s="384"/>
      <c r="H31" s="383"/>
      <c r="I31" s="313" t="str">
        <f t="shared" si="7"/>
        <v>Repas &amp; logement</v>
      </c>
      <c r="J31" s="271" t="s">
        <v>136</v>
      </c>
      <c r="K31" s="382"/>
      <c r="L31" s="382"/>
      <c r="M31" s="382"/>
      <c r="N31" s="382"/>
      <c r="O31" s="382"/>
      <c r="P31" s="383"/>
      <c r="Q31" s="83">
        <f t="shared" si="9"/>
        <v>0</v>
      </c>
      <c r="R31" s="65"/>
      <c r="S31" s="470">
        <f>IF(AND(M7+M13&gt;8,T11=0),"Remarque: à partir de 8 heures de travail effectives par semaine, l’employé doit avoir souscrit une assurance-accidents non professionnels!",0)</f>
        <v>0</v>
      </c>
      <c r="T31" s="471"/>
      <c r="U31" s="472"/>
      <c r="V31" s="369"/>
      <c r="W31" s="2"/>
      <c r="X31" s="103"/>
      <c r="Y31" s="98"/>
      <c r="Z31" s="59"/>
      <c r="AA31" s="59"/>
      <c r="AB31" s="59"/>
      <c r="AC31" s="59"/>
      <c r="AD31" s="59"/>
      <c r="AE31" s="59"/>
      <c r="AF31" s="59"/>
    </row>
    <row r="32" spans="1:37" s="6" customFormat="1" ht="34.5" x14ac:dyDescent="0.25">
      <c r="A32" s="313" t="s">
        <v>137</v>
      </c>
      <c r="B32" s="272" t="s">
        <v>136</v>
      </c>
      <c r="C32" s="382"/>
      <c r="D32" s="384"/>
      <c r="E32" s="384"/>
      <c r="F32" s="384"/>
      <c r="G32" s="384"/>
      <c r="H32" s="385"/>
      <c r="I32" s="313" t="str">
        <f t="shared" si="7"/>
        <v>Oblig. de verser le salaire (art. 324a CO) (soumis à l'AVS)</v>
      </c>
      <c r="J32" s="272" t="s">
        <v>136</v>
      </c>
      <c r="K32" s="384"/>
      <c r="L32" s="384"/>
      <c r="M32" s="384"/>
      <c r="N32" s="386"/>
      <c r="O32" s="384"/>
      <c r="P32" s="385"/>
      <c r="Q32" s="70">
        <f t="shared" si="9"/>
        <v>0</v>
      </c>
      <c r="R32" s="65"/>
      <c r="S32" s="470"/>
      <c r="T32" s="471"/>
      <c r="U32" s="472"/>
      <c r="V32" s="369"/>
      <c r="W32" s="2">
        <f>IF(S31&gt;1,1,0)</f>
        <v>0</v>
      </c>
      <c r="X32" s="103"/>
      <c r="Y32" s="98"/>
      <c r="Z32" s="59"/>
      <c r="AA32" s="59"/>
      <c r="AB32" s="59"/>
      <c r="AC32" s="59"/>
      <c r="AD32" s="59"/>
      <c r="AE32" s="59"/>
      <c r="AF32" s="59"/>
      <c r="AK32" s="104"/>
    </row>
    <row r="33" spans="1:37" s="6" customFormat="1" ht="23" x14ac:dyDescent="0.25">
      <c r="A33" s="313" t="s">
        <v>138</v>
      </c>
      <c r="B33" s="272" t="s">
        <v>136</v>
      </c>
      <c r="C33" s="382"/>
      <c r="D33" s="384"/>
      <c r="E33" s="384"/>
      <c r="F33" s="384"/>
      <c r="G33" s="384"/>
      <c r="H33" s="385"/>
      <c r="I33" s="313" t="str">
        <f t="shared" si="7"/>
        <v>Oblig. de verser le salaire
(soumis à l'AVS)</v>
      </c>
      <c r="J33" s="272" t="s">
        <v>136</v>
      </c>
      <c r="K33" s="384"/>
      <c r="L33" s="384"/>
      <c r="M33" s="384"/>
      <c r="N33" s="386"/>
      <c r="O33" s="384"/>
      <c r="P33" s="385"/>
      <c r="Q33" s="70">
        <f t="shared" si="9"/>
        <v>0</v>
      </c>
      <c r="R33" s="65"/>
      <c r="S33" s="470">
        <f>IF(DATEDIF($F$7,C21,"Y")&lt;17,0,IF($C$67="oui",0,IF(AND(U2&gt;Grundlagen!$B$8-0.01,SUM(T15:T16)=0),"Remarque: si le salaire annuel brut AVS dépasse " &amp; Grundlagen!$B$8 &amp;" la personne doit être impérativement assurée auprès d’une institution de prévoyance professionnelle!",0)))</f>
        <v>0</v>
      </c>
      <c r="T33" s="471"/>
      <c r="U33" s="472"/>
      <c r="V33" s="369"/>
      <c r="W33" s="65"/>
      <c r="X33" s="103"/>
      <c r="Y33" s="98"/>
      <c r="Z33" s="59"/>
      <c r="AA33" s="59"/>
      <c r="AB33" s="59"/>
      <c r="AC33" s="59"/>
      <c r="AD33" s="59"/>
      <c r="AE33" s="59"/>
      <c r="AF33" s="59"/>
      <c r="AK33" s="104"/>
    </row>
    <row r="34" spans="1:37" s="6" customFormat="1" ht="23" x14ac:dyDescent="0.25">
      <c r="A34" s="314" t="s">
        <v>139</v>
      </c>
      <c r="B34" s="273" t="s">
        <v>136</v>
      </c>
      <c r="C34" s="382"/>
      <c r="D34" s="384"/>
      <c r="E34" s="384"/>
      <c r="F34" s="384"/>
      <c r="G34" s="384"/>
      <c r="H34" s="385"/>
      <c r="I34" s="314" t="str">
        <f t="shared" si="7"/>
        <v>Allocation maternité / militaire (soumis à l'AVS)</v>
      </c>
      <c r="J34" s="273" t="s">
        <v>136</v>
      </c>
      <c r="K34" s="384"/>
      <c r="L34" s="384"/>
      <c r="M34" s="384"/>
      <c r="N34" s="386"/>
      <c r="O34" s="384"/>
      <c r="P34" s="385"/>
      <c r="Q34" s="70">
        <f t="shared" si="9"/>
        <v>0</v>
      </c>
      <c r="R34" s="57"/>
      <c r="S34" s="470"/>
      <c r="T34" s="471"/>
      <c r="U34" s="472"/>
      <c r="V34" s="369"/>
      <c r="W34" s="2">
        <f>IF(S33&gt;1,1,0)</f>
        <v>0</v>
      </c>
      <c r="X34" s="101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</row>
    <row r="35" spans="1:37" s="2" customFormat="1" ht="23" x14ac:dyDescent="0.25">
      <c r="A35" s="314" t="s">
        <v>140</v>
      </c>
      <c r="B35" s="273" t="s">
        <v>136</v>
      </c>
      <c r="C35" s="382"/>
      <c r="D35" s="384"/>
      <c r="E35" s="384"/>
      <c r="F35" s="384"/>
      <c r="G35" s="384"/>
      <c r="H35" s="385"/>
      <c r="I35" s="314" t="str">
        <f t="shared" si="7"/>
        <v>Indemnité d'assurance
(non soumis AVS)</v>
      </c>
      <c r="J35" s="273" t="s">
        <v>136</v>
      </c>
      <c r="K35" s="384"/>
      <c r="L35" s="384"/>
      <c r="M35" s="384"/>
      <c r="N35" s="386"/>
      <c r="O35" s="384"/>
      <c r="P35" s="385"/>
      <c r="Q35" s="70">
        <f t="shared" si="9"/>
        <v>0</v>
      </c>
      <c r="R35" s="57"/>
      <c r="S35" s="470"/>
      <c r="T35" s="471"/>
      <c r="U35" s="472"/>
      <c r="V35" s="369"/>
      <c r="W35" s="57"/>
      <c r="X35" s="101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</row>
    <row r="36" spans="1:37" s="2" customFormat="1" ht="15" customHeight="1" x14ac:dyDescent="0.25">
      <c r="A36" s="312" t="s">
        <v>141</v>
      </c>
      <c r="B36" s="271" t="s">
        <v>136</v>
      </c>
      <c r="C36" s="382"/>
      <c r="D36" s="384"/>
      <c r="E36" s="384"/>
      <c r="F36" s="384"/>
      <c r="G36" s="384"/>
      <c r="H36" s="385"/>
      <c r="I36" s="312" t="str">
        <f t="shared" si="7"/>
        <v>Allocations familiales</v>
      </c>
      <c r="J36" s="271" t="s">
        <v>136</v>
      </c>
      <c r="K36" s="384"/>
      <c r="L36" s="384"/>
      <c r="M36" s="384"/>
      <c r="N36" s="386"/>
      <c r="O36" s="384"/>
      <c r="P36" s="385"/>
      <c r="Q36" s="70">
        <f t="shared" si="9"/>
        <v>0</v>
      </c>
      <c r="R36" s="57"/>
      <c r="S36" s="470">
        <f>IF(M8="",0,IF($C$16="Salaire horaire",(IF(AC6="non",IF(AND(AC6="non",AD7="oui"),0,"ATTENTION: le modèle bernois reconnaît un salaire horaire minimum de CHF 21.60 et maximum de CHF 56.50 pour les personnes autres que les proches."),IF(AND(AC6="oui",AD6="oui"),0,"ATTENTION: le modèle bernois reconnaît un salaire horaire minimum de CHF 21.60 pour les proches."))),(IF(AC6="non",IF(AND(AC6="non",AD7="oui"),(IF(AD8="oui","ATTENTION: pour les personnes autres que les proches, le modèle bernois reconnaît un salaire mensuel maximum de CHF 9'500 + 13e salaire ou de CHF 10'290 sans 13e salaire. Veuillez contrôler le taux d’occupation.",0)),"ATTENTION: pour les personnes autres que les proches, le modèle bernois reconnaît un salaire mensuel minimum de CHF 3'630 + 13e salaire ou de CHF 3'930 sans 13e salaire. Veuillez contrôler le taux d’occupation."),IF(AND(AC6="oui",AD6="oui"),0,"ATTENTION: pour les proches, le modèle bernois reconnaît un salaire mensuel de CHF 3'630 + 13e salaire ou de CHF 3'930 sans 13e salaire. Veuillez contrôler le taux d’occupation.")))))</f>
        <v>0</v>
      </c>
      <c r="T36" s="471"/>
      <c r="U36" s="472"/>
      <c r="V36" s="369"/>
      <c r="W36" s="57"/>
      <c r="X36" s="105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</row>
    <row r="37" spans="1:37" s="2" customFormat="1" ht="15" customHeight="1" x14ac:dyDescent="0.25">
      <c r="A37" s="315" t="s">
        <v>142</v>
      </c>
      <c r="B37" s="274" t="s">
        <v>136</v>
      </c>
      <c r="C37" s="291">
        <f t="shared" ref="C37:H37" si="16">MROUND(IF($C$16="Salaire horaire",SUM(C27,C29,C30,C31,C32,C33,C34,C35,C36),SUM(C22,C23,C30,C31,C32,C33,C34,C35,C36)),0.05)</f>
        <v>0</v>
      </c>
      <c r="D37" s="291">
        <f t="shared" si="16"/>
        <v>0</v>
      </c>
      <c r="E37" s="291">
        <f t="shared" si="16"/>
        <v>0</v>
      </c>
      <c r="F37" s="291">
        <f t="shared" si="16"/>
        <v>0</v>
      </c>
      <c r="G37" s="291">
        <f t="shared" si="16"/>
        <v>0</v>
      </c>
      <c r="H37" s="242">
        <f t="shared" si="16"/>
        <v>0</v>
      </c>
      <c r="I37" s="315" t="str">
        <f t="shared" si="7"/>
        <v>Salaire brut</v>
      </c>
      <c r="J37" s="274" t="s">
        <v>136</v>
      </c>
      <c r="K37" s="291">
        <f t="shared" ref="K37:P37" si="17">MROUND(IF($C$16="Salaire horaire",SUM(K27,K29,K30,K31,K32,K33,K34,K35,K36),SUM(K22,K23,K30,K31,K32,K33,K34,K35,K36)),0.05)</f>
        <v>0</v>
      </c>
      <c r="L37" s="291">
        <f t="shared" si="17"/>
        <v>0</v>
      </c>
      <c r="M37" s="291">
        <f t="shared" si="17"/>
        <v>0</v>
      </c>
      <c r="N37" s="291">
        <f t="shared" si="17"/>
        <v>0</v>
      </c>
      <c r="O37" s="291">
        <f t="shared" si="17"/>
        <v>0</v>
      </c>
      <c r="P37" s="242">
        <f t="shared" si="17"/>
        <v>0</v>
      </c>
      <c r="Q37" s="242">
        <f t="shared" si="9"/>
        <v>0</v>
      </c>
      <c r="R37" s="57"/>
      <c r="S37" s="470"/>
      <c r="T37" s="471"/>
      <c r="U37" s="472"/>
      <c r="V37" s="369"/>
      <c r="W37" s="2">
        <f>IF(S36&gt;1,5,0)</f>
        <v>0</v>
      </c>
      <c r="X37" s="101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</row>
    <row r="38" spans="1:37" s="2" customFormat="1" ht="15" customHeight="1" x14ac:dyDescent="0.25">
      <c r="A38" s="312" t="s">
        <v>143</v>
      </c>
      <c r="B38" s="275" t="s">
        <v>136</v>
      </c>
      <c r="C38" s="404">
        <f>C$80</f>
        <v>0</v>
      </c>
      <c r="D38" s="404">
        <f t="shared" ref="D38:H38" si="18">D$80</f>
        <v>0</v>
      </c>
      <c r="E38" s="404">
        <f t="shared" si="18"/>
        <v>0</v>
      </c>
      <c r="F38" s="404">
        <f t="shared" si="18"/>
        <v>0</v>
      </c>
      <c r="G38" s="404">
        <f t="shared" si="18"/>
        <v>0</v>
      </c>
      <c r="H38" s="405">
        <f t="shared" si="18"/>
        <v>0</v>
      </c>
      <c r="I38" s="312" t="str">
        <f t="shared" si="7"/>
        <v>Franchise rentier AVS</v>
      </c>
      <c r="J38" s="275" t="s">
        <v>136</v>
      </c>
      <c r="K38" s="404">
        <f>K$80</f>
        <v>0</v>
      </c>
      <c r="L38" s="404">
        <f t="shared" ref="L38:P38" si="19">L$80</f>
        <v>0</v>
      </c>
      <c r="M38" s="404">
        <f t="shared" si="19"/>
        <v>0</v>
      </c>
      <c r="N38" s="404">
        <f t="shared" si="19"/>
        <v>0</v>
      </c>
      <c r="O38" s="404">
        <f t="shared" si="19"/>
        <v>0</v>
      </c>
      <c r="P38" s="405">
        <f t="shared" si="19"/>
        <v>0</v>
      </c>
      <c r="Q38" s="307">
        <f>SUM(C38:H38)+SUM(K38:P38)</f>
        <v>0</v>
      </c>
      <c r="R38" s="57"/>
      <c r="S38" s="470"/>
      <c r="T38" s="471"/>
      <c r="U38" s="472"/>
      <c r="V38" s="369"/>
      <c r="W38" s="57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</row>
    <row r="39" spans="1:37" s="6" customFormat="1" ht="15" customHeight="1" x14ac:dyDescent="0.25">
      <c r="A39" s="315" t="s">
        <v>144</v>
      </c>
      <c r="B39" s="274" t="s">
        <v>136</v>
      </c>
      <c r="C39" s="291">
        <f>C37-C36-C35-C38</f>
        <v>0</v>
      </c>
      <c r="D39" s="291">
        <f t="shared" ref="D39:H39" si="20">D37-D36-D35-D38</f>
        <v>0</v>
      </c>
      <c r="E39" s="291">
        <f t="shared" si="20"/>
        <v>0</v>
      </c>
      <c r="F39" s="291">
        <f t="shared" si="20"/>
        <v>0</v>
      </c>
      <c r="G39" s="291">
        <f t="shared" si="20"/>
        <v>0</v>
      </c>
      <c r="H39" s="242">
        <f t="shared" si="20"/>
        <v>0</v>
      </c>
      <c r="I39" s="315" t="str">
        <f t="shared" si="7"/>
        <v>AVS montant brut</v>
      </c>
      <c r="J39" s="274" t="s">
        <v>136</v>
      </c>
      <c r="K39" s="291">
        <f t="shared" ref="K39:P39" si="21">K37-K36-K35-K38</f>
        <v>0</v>
      </c>
      <c r="L39" s="291">
        <f t="shared" si="21"/>
        <v>0</v>
      </c>
      <c r="M39" s="291">
        <f t="shared" si="21"/>
        <v>0</v>
      </c>
      <c r="N39" s="306">
        <f t="shared" si="21"/>
        <v>0</v>
      </c>
      <c r="O39" s="291">
        <f t="shared" si="21"/>
        <v>0</v>
      </c>
      <c r="P39" s="242">
        <f t="shared" si="21"/>
        <v>0</v>
      </c>
      <c r="Q39" s="242">
        <f>ROUND((SUM(C39:H39)+SUM(K39:P39))*20,0)/20</f>
        <v>0</v>
      </c>
      <c r="R39" s="79"/>
      <c r="S39" s="470"/>
      <c r="T39" s="471"/>
      <c r="U39" s="472"/>
      <c r="V39" s="369"/>
      <c r="W39" s="79"/>
      <c r="X39" s="2"/>
      <c r="Y39" s="106"/>
      <c r="Z39" s="106"/>
      <c r="AA39" s="106"/>
      <c r="AB39" s="106"/>
      <c r="AC39" s="106"/>
      <c r="AD39" s="106"/>
      <c r="AE39" s="64"/>
      <c r="AF39" s="64"/>
    </row>
    <row r="40" spans="1:37" s="2" customFormat="1" ht="15" customHeight="1" thickBot="1" x14ac:dyDescent="0.3">
      <c r="A40" s="312" t="str">
        <f>CONCATENATE("AVS/AI/APG ",T8*100,"%")</f>
        <v>AVS/AI/APG 0%</v>
      </c>
      <c r="B40" s="276" t="s">
        <v>136</v>
      </c>
      <c r="C40" s="234">
        <f>C$39*-$T$8</f>
        <v>0</v>
      </c>
      <c r="D40" s="234">
        <f t="shared" ref="D40:H40" si="22">D$39*-$T$8</f>
        <v>0</v>
      </c>
      <c r="E40" s="234">
        <f t="shared" si="22"/>
        <v>0</v>
      </c>
      <c r="F40" s="234">
        <f t="shared" si="22"/>
        <v>0</v>
      </c>
      <c r="G40" s="234">
        <f t="shared" si="22"/>
        <v>0</v>
      </c>
      <c r="H40" s="235">
        <f t="shared" si="22"/>
        <v>0</v>
      </c>
      <c r="I40" s="327" t="str">
        <f t="shared" si="7"/>
        <v>AVS/AI/APG 0%</v>
      </c>
      <c r="J40" s="276" t="s">
        <v>136</v>
      </c>
      <c r="K40" s="234">
        <f t="shared" ref="K40:P40" si="23">K$39*-$T$8</f>
        <v>0</v>
      </c>
      <c r="L40" s="234">
        <f t="shared" si="23"/>
        <v>0</v>
      </c>
      <c r="M40" s="234">
        <f t="shared" si="23"/>
        <v>0</v>
      </c>
      <c r="N40" s="236">
        <f t="shared" si="23"/>
        <v>0</v>
      </c>
      <c r="O40" s="234">
        <f t="shared" si="23"/>
        <v>0</v>
      </c>
      <c r="P40" s="235">
        <f t="shared" si="23"/>
        <v>0</v>
      </c>
      <c r="Q40" s="239">
        <f t="shared" ref="Q40:Q48" si="24">ROUND((SUM(C40:H40)+SUM(K40:P40))*20,0)/20</f>
        <v>0</v>
      </c>
      <c r="R40" s="65"/>
      <c r="S40" s="470"/>
      <c r="T40" s="471"/>
      <c r="U40" s="472"/>
      <c r="V40" s="369"/>
      <c r="W40" s="65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</row>
    <row r="41" spans="1:37" s="6" customFormat="1" ht="15" customHeight="1" x14ac:dyDescent="0.25">
      <c r="A41" s="312" t="str">
        <f>CONCATENATE("AC ",T9*100,"%")</f>
        <v>AC 0%</v>
      </c>
      <c r="B41" s="271" t="s">
        <v>136</v>
      </c>
      <c r="C41" s="237">
        <f>IF(C$38&lt;&gt;0,0,C$39*$T$9*-1)</f>
        <v>0</v>
      </c>
      <c r="D41" s="237">
        <f t="shared" ref="D41:H41" si="25">IF(D$38&lt;&gt;0,0,D$39*$T$9*-1)</f>
        <v>0</v>
      </c>
      <c r="E41" s="237">
        <f t="shared" si="25"/>
        <v>0</v>
      </c>
      <c r="F41" s="237">
        <f t="shared" si="25"/>
        <v>0</v>
      </c>
      <c r="G41" s="237">
        <f t="shared" si="25"/>
        <v>0</v>
      </c>
      <c r="H41" s="238">
        <f t="shared" si="25"/>
        <v>0</v>
      </c>
      <c r="I41" s="327" t="str">
        <f t="shared" si="7"/>
        <v>AC 0%</v>
      </c>
      <c r="J41" s="271" t="s">
        <v>136</v>
      </c>
      <c r="K41" s="237">
        <f>IF(K$38&lt;&gt;0,0,K$39*$T$9*-1)</f>
        <v>0</v>
      </c>
      <c r="L41" s="237">
        <f t="shared" ref="L41:P41" si="26">IF(L$38&lt;&gt;0,0,L$39*$T$9*-1)</f>
        <v>0</v>
      </c>
      <c r="M41" s="237">
        <f t="shared" si="26"/>
        <v>0</v>
      </c>
      <c r="N41" s="237">
        <f t="shared" si="26"/>
        <v>0</v>
      </c>
      <c r="O41" s="237">
        <f t="shared" si="26"/>
        <v>0</v>
      </c>
      <c r="P41" s="238">
        <f t="shared" si="26"/>
        <v>0</v>
      </c>
      <c r="Q41" s="240">
        <f t="shared" si="24"/>
        <v>0</v>
      </c>
      <c r="R41" s="79"/>
      <c r="S41" s="487"/>
      <c r="T41" s="487"/>
      <c r="U41" s="487"/>
      <c r="V41" s="65"/>
      <c r="X41" s="2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</row>
    <row r="42" spans="1:37" s="2" customFormat="1" ht="15" customHeight="1" x14ac:dyDescent="0.25">
      <c r="A42" s="312" t="str">
        <f>IF(T11&lt;0.01,"ANP",(CONCATENATE("ANP ",T11*100,"%")))</f>
        <v>ANP</v>
      </c>
      <c r="B42" s="271" t="s">
        <v>136</v>
      </c>
      <c r="C42" s="382">
        <f t="shared" ref="C42:H42" si="27">(C$37-C$34-C$35-C$36)*-$T$11</f>
        <v>0</v>
      </c>
      <c r="D42" s="382">
        <f t="shared" si="27"/>
        <v>0</v>
      </c>
      <c r="E42" s="382">
        <f t="shared" si="27"/>
        <v>0</v>
      </c>
      <c r="F42" s="382">
        <f t="shared" si="27"/>
        <v>0</v>
      </c>
      <c r="G42" s="382">
        <f t="shared" si="27"/>
        <v>0</v>
      </c>
      <c r="H42" s="383">
        <f t="shared" si="27"/>
        <v>0</v>
      </c>
      <c r="I42" s="327" t="str">
        <f t="shared" si="7"/>
        <v>ANP</v>
      </c>
      <c r="J42" s="271" t="s">
        <v>136</v>
      </c>
      <c r="K42" s="382">
        <f t="shared" ref="K42:P42" si="28">(K$37-K$34-K$35-K$36)*-$T$11</f>
        <v>0</v>
      </c>
      <c r="L42" s="382">
        <f t="shared" si="28"/>
        <v>0</v>
      </c>
      <c r="M42" s="382">
        <f t="shared" si="28"/>
        <v>0</v>
      </c>
      <c r="N42" s="386">
        <f t="shared" si="28"/>
        <v>0</v>
      </c>
      <c r="O42" s="382">
        <f t="shared" si="28"/>
        <v>0</v>
      </c>
      <c r="P42" s="383">
        <f t="shared" si="28"/>
        <v>0</v>
      </c>
      <c r="Q42" s="240">
        <f t="shared" si="24"/>
        <v>0</v>
      </c>
      <c r="R42" s="65"/>
      <c r="S42" s="488"/>
      <c r="T42" s="488"/>
      <c r="U42" s="488"/>
      <c r="V42" s="79"/>
      <c r="W42" s="2">
        <f>IF(S41&gt;1,1,0)</f>
        <v>0</v>
      </c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</row>
    <row r="43" spans="1:37" s="2" customFormat="1" ht="15" customHeight="1" x14ac:dyDescent="0.25">
      <c r="A43" s="312" t="str">
        <f>IF(T13&lt;0.0000001,"IJM",(CONCATENATE("IJM ",T13*100,"%")))</f>
        <v>IJM</v>
      </c>
      <c r="B43" s="271" t="s">
        <v>136</v>
      </c>
      <c r="C43" s="382">
        <f t="shared" ref="C43:H43" si="29">(C$37-C$34-C$35-C$36)*-$T$13</f>
        <v>0</v>
      </c>
      <c r="D43" s="382">
        <f t="shared" si="29"/>
        <v>0</v>
      </c>
      <c r="E43" s="382">
        <f t="shared" si="29"/>
        <v>0</v>
      </c>
      <c r="F43" s="382">
        <f t="shared" si="29"/>
        <v>0</v>
      </c>
      <c r="G43" s="382">
        <f t="shared" si="29"/>
        <v>0</v>
      </c>
      <c r="H43" s="383">
        <f t="shared" si="29"/>
        <v>0</v>
      </c>
      <c r="I43" s="327" t="str">
        <f t="shared" si="7"/>
        <v>IJM</v>
      </c>
      <c r="J43" s="271" t="s">
        <v>136</v>
      </c>
      <c r="K43" s="382">
        <f t="shared" ref="K43:P43" si="30">(K$37-K$34-K$35-K$36)*-$T$13</f>
        <v>0</v>
      </c>
      <c r="L43" s="382">
        <f t="shared" si="30"/>
        <v>0</v>
      </c>
      <c r="M43" s="382">
        <f t="shared" si="30"/>
        <v>0</v>
      </c>
      <c r="N43" s="386">
        <f t="shared" si="30"/>
        <v>0</v>
      </c>
      <c r="O43" s="382">
        <f t="shared" si="30"/>
        <v>0</v>
      </c>
      <c r="P43" s="383">
        <f t="shared" si="30"/>
        <v>0</v>
      </c>
      <c r="Q43" s="240">
        <f t="shared" si="24"/>
        <v>0</v>
      </c>
      <c r="R43" s="65"/>
      <c r="S43" s="488"/>
      <c r="T43" s="488"/>
      <c r="U43" s="488"/>
      <c r="V43" s="65"/>
      <c r="W43" s="65"/>
      <c r="X43" s="101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245"/>
    </row>
    <row r="44" spans="1:37" s="2" customFormat="1" ht="15" customHeight="1" x14ac:dyDescent="0.25">
      <c r="A44" s="312" t="str">
        <f>IF(T16&gt;0.01%,(CONCATENATE("LPP ",T16*100,"%")),IF(T15&lt;0.01,"LPP",(CONCATENATE("LPP ","CHF ",T15))))</f>
        <v>LPP</v>
      </c>
      <c r="B44" s="271" t="s">
        <v>136</v>
      </c>
      <c r="C44" s="382">
        <f t="shared" ref="C44:H44" si="31">IF(OR(C$39=0,C$67="oui",DATEDIF($F$7,$A$21,"Y")&lt;18),0,IF($T$16&gt;0.1%,-$T$16*C$39,-$T$15))</f>
        <v>0</v>
      </c>
      <c r="D44" s="382">
        <f t="shared" si="31"/>
        <v>0</v>
      </c>
      <c r="E44" s="382">
        <f t="shared" si="31"/>
        <v>0</v>
      </c>
      <c r="F44" s="382">
        <f t="shared" si="31"/>
        <v>0</v>
      </c>
      <c r="G44" s="382">
        <f t="shared" si="31"/>
        <v>0</v>
      </c>
      <c r="H44" s="383">
        <f t="shared" si="31"/>
        <v>0</v>
      </c>
      <c r="I44" s="327" t="str">
        <f t="shared" si="7"/>
        <v>LPP</v>
      </c>
      <c r="J44" s="271" t="s">
        <v>136</v>
      </c>
      <c r="K44" s="382">
        <f t="shared" ref="K44:P44" si="32">IF(OR(K$39=0,K$67="oui",DATEDIF($F$7,$A$21,"Y")&lt;18),0,IF($T$16&gt;0.1%,-$T$16*K$39,-$T$15))</f>
        <v>0</v>
      </c>
      <c r="L44" s="382">
        <f t="shared" si="32"/>
        <v>0</v>
      </c>
      <c r="M44" s="382">
        <f t="shared" si="32"/>
        <v>0</v>
      </c>
      <c r="N44" s="382">
        <f t="shared" si="32"/>
        <v>0</v>
      </c>
      <c r="O44" s="382">
        <f t="shared" si="32"/>
        <v>0</v>
      </c>
      <c r="P44" s="383">
        <f t="shared" si="32"/>
        <v>0</v>
      </c>
      <c r="Q44" s="240">
        <f t="shared" si="24"/>
        <v>0</v>
      </c>
      <c r="R44" s="65"/>
      <c r="S44" s="65"/>
      <c r="T44" s="65"/>
      <c r="U44" s="65"/>
      <c r="V44" s="65"/>
      <c r="W44" s="101"/>
      <c r="X44" s="59"/>
      <c r="Y44" s="59"/>
      <c r="Z44" s="59"/>
      <c r="AA44" s="59"/>
      <c r="AB44" s="59"/>
      <c r="AC44" s="59"/>
      <c r="AD44" s="59"/>
      <c r="AE44" s="59"/>
    </row>
    <row r="45" spans="1:37" s="2" customFormat="1" ht="15" customHeight="1" x14ac:dyDescent="0.25">
      <c r="A45" s="312" t="str">
        <f>IF(G13="à choisir","",IF(OR(Y9&lt;5%,G13="ordinaire",)," ",(CONCATENATE("Impôt selon LTN ",Y9*100,"%"))))</f>
        <v/>
      </c>
      <c r="B45" s="270" t="str">
        <f>IF(A45="Impôt selon LTN 5%","CHF"," ")</f>
        <v xml:space="preserve"> </v>
      </c>
      <c r="C45" s="382">
        <f t="shared" ref="C45:H45" si="33">IF(C39+C38=0,0,IF(C$67="no",C39*-$Y$9,IF(AND(C38&gt;1),(C39+C38)*-$Y$9,C39*-$Y$9)))</f>
        <v>0</v>
      </c>
      <c r="D45" s="382">
        <f t="shared" si="33"/>
        <v>0</v>
      </c>
      <c r="E45" s="382">
        <f t="shared" si="33"/>
        <v>0</v>
      </c>
      <c r="F45" s="382">
        <f t="shared" si="33"/>
        <v>0</v>
      </c>
      <c r="G45" s="382">
        <f t="shared" si="33"/>
        <v>0</v>
      </c>
      <c r="H45" s="383">
        <f t="shared" si="33"/>
        <v>0</v>
      </c>
      <c r="I45" s="312" t="str">
        <f t="shared" si="7"/>
        <v/>
      </c>
      <c r="J45" s="270" t="str">
        <f>IF(I45="QST gem. BGSA 5%","CHF"," ")</f>
        <v xml:space="preserve"> </v>
      </c>
      <c r="K45" s="382">
        <f t="shared" ref="K45:P45" si="34">IF(K39+K38=0,0,IF(K$67="no",K39*-$Y$9,IF(AND(K38&gt;1),(K39+K38)*-$Y$9,K39*-$Y$9)))</f>
        <v>0</v>
      </c>
      <c r="L45" s="382">
        <f t="shared" si="34"/>
        <v>0</v>
      </c>
      <c r="M45" s="382">
        <f t="shared" si="34"/>
        <v>0</v>
      </c>
      <c r="N45" s="382">
        <f t="shared" si="34"/>
        <v>0</v>
      </c>
      <c r="O45" s="382">
        <f t="shared" si="34"/>
        <v>0</v>
      </c>
      <c r="P45" s="383">
        <f t="shared" si="34"/>
        <v>0</v>
      </c>
      <c r="Q45" s="304">
        <f>ROUND((SUM(C45:H45)+SUM(K45:P45))*20,0)/20</f>
        <v>0</v>
      </c>
      <c r="R45" s="65"/>
      <c r="S45" s="65"/>
      <c r="T45" s="65"/>
      <c r="U45" s="65"/>
      <c r="V45" s="65"/>
      <c r="W45" s="79">
        <f>SUM(W21:W43)</f>
        <v>0</v>
      </c>
      <c r="X45" s="58"/>
      <c r="Y45" s="59"/>
      <c r="Z45" s="59"/>
      <c r="AA45" s="59"/>
      <c r="AB45" s="59"/>
      <c r="AC45" s="59"/>
      <c r="AD45" s="59"/>
      <c r="AE45" s="59"/>
    </row>
    <row r="46" spans="1:37" s="2" customFormat="1" ht="15" customHeight="1" x14ac:dyDescent="0.25">
      <c r="A46" s="312" t="str">
        <f>IF(G13="ordinaire","Impôt à la source","")</f>
        <v/>
      </c>
      <c r="B46" s="270" t="str">
        <f>IF(A46="Impôt à la source","CHF"," ")</f>
        <v xml:space="preserve"> </v>
      </c>
      <c r="C46" s="382"/>
      <c r="D46" s="382"/>
      <c r="E46" s="382"/>
      <c r="F46" s="382"/>
      <c r="G46" s="382"/>
      <c r="H46" s="385"/>
      <c r="I46" s="327" t="str">
        <f t="shared" si="7"/>
        <v/>
      </c>
      <c r="J46" s="270" t="str">
        <f>IF(I46="QST","CHF"," ")</f>
        <v xml:space="preserve"> </v>
      </c>
      <c r="K46" s="384"/>
      <c r="L46" s="384"/>
      <c r="M46" s="384"/>
      <c r="N46" s="386"/>
      <c r="O46" s="384"/>
      <c r="P46" s="385"/>
      <c r="Q46" s="70">
        <f t="shared" si="24"/>
        <v>0</v>
      </c>
      <c r="R46" s="65"/>
      <c r="S46" s="65"/>
      <c r="T46" s="65"/>
      <c r="U46" s="65"/>
      <c r="V46" s="65"/>
      <c r="W46" s="101"/>
      <c r="X46" s="59"/>
      <c r="Y46" s="59"/>
      <c r="Z46" s="59"/>
      <c r="AA46" s="59"/>
      <c r="AB46" s="59"/>
      <c r="AC46" s="59"/>
      <c r="AD46" s="59"/>
      <c r="AE46" s="59"/>
    </row>
    <row r="47" spans="1:37" s="2" customFormat="1" ht="15" customHeight="1" x14ac:dyDescent="0.25">
      <c r="A47" s="312" t="s">
        <v>145</v>
      </c>
      <c r="B47" s="271" t="s">
        <v>136</v>
      </c>
      <c r="C47" s="382"/>
      <c r="D47" s="384"/>
      <c r="E47" s="384"/>
      <c r="F47" s="384"/>
      <c r="G47" s="384"/>
      <c r="H47" s="385"/>
      <c r="I47" s="327" t="str">
        <f t="shared" si="7"/>
        <v>Frais effectifs</v>
      </c>
      <c r="J47" s="271" t="s">
        <v>136</v>
      </c>
      <c r="K47" s="384"/>
      <c r="L47" s="384"/>
      <c r="M47" s="384"/>
      <c r="N47" s="386"/>
      <c r="O47" s="384"/>
      <c r="P47" s="385"/>
      <c r="Q47" s="70">
        <f t="shared" si="24"/>
        <v>0</v>
      </c>
      <c r="R47" s="172"/>
      <c r="S47" s="65"/>
      <c r="T47" s="65"/>
      <c r="U47" s="65"/>
      <c r="V47" s="172"/>
      <c r="W47" s="101"/>
      <c r="X47" s="58"/>
      <c r="Y47" s="59"/>
      <c r="Z47" s="59"/>
      <c r="AA47" s="59"/>
      <c r="AB47" s="59"/>
      <c r="AC47" s="59"/>
      <c r="AD47" s="59"/>
      <c r="AE47" s="59"/>
    </row>
    <row r="48" spans="1:37" s="2" customFormat="1" ht="15" customHeight="1" x14ac:dyDescent="0.25">
      <c r="A48" s="316" t="s">
        <v>135</v>
      </c>
      <c r="B48" s="275" t="s">
        <v>136</v>
      </c>
      <c r="C48" s="382">
        <f>-C31</f>
        <v>0</v>
      </c>
      <c r="D48" s="384">
        <f t="shared" ref="D48:H48" si="35">-D31</f>
        <v>0</v>
      </c>
      <c r="E48" s="384">
        <f t="shared" si="35"/>
        <v>0</v>
      </c>
      <c r="F48" s="384">
        <f t="shared" si="35"/>
        <v>0</v>
      </c>
      <c r="G48" s="384">
        <f t="shared" si="35"/>
        <v>0</v>
      </c>
      <c r="H48" s="385">
        <f t="shared" si="35"/>
        <v>0</v>
      </c>
      <c r="I48" s="328" t="str">
        <f t="shared" si="7"/>
        <v>Repas &amp; logement</v>
      </c>
      <c r="J48" s="275" t="s">
        <v>136</v>
      </c>
      <c r="K48" s="384">
        <f t="shared" ref="K48:P48" si="36">-K31</f>
        <v>0</v>
      </c>
      <c r="L48" s="384">
        <f t="shared" si="36"/>
        <v>0</v>
      </c>
      <c r="M48" s="384">
        <f t="shared" si="36"/>
        <v>0</v>
      </c>
      <c r="N48" s="386">
        <f t="shared" si="36"/>
        <v>0</v>
      </c>
      <c r="O48" s="384">
        <f t="shared" si="36"/>
        <v>0</v>
      </c>
      <c r="P48" s="385">
        <f t="shared" si="36"/>
        <v>0</v>
      </c>
      <c r="Q48" s="241">
        <f t="shared" si="24"/>
        <v>0</v>
      </c>
      <c r="R48" s="57"/>
      <c r="S48" s="172"/>
      <c r="T48" s="172"/>
      <c r="U48" s="172"/>
      <c r="V48" s="57"/>
      <c r="W48" s="101"/>
      <c r="X48" s="58"/>
      <c r="Y48" s="59"/>
      <c r="Z48" s="59"/>
      <c r="AA48" s="59"/>
      <c r="AB48" s="59"/>
      <c r="AC48" s="59"/>
      <c r="AD48" s="59"/>
      <c r="AE48" s="59"/>
    </row>
    <row r="49" spans="1:31" s="2" customFormat="1" ht="15" customHeight="1" x14ac:dyDescent="0.25">
      <c r="A49" s="335" t="s">
        <v>146</v>
      </c>
      <c r="B49" s="336" t="s">
        <v>136</v>
      </c>
      <c r="C49" s="331">
        <f>MROUND(C37+(SUM(C40:C46)+C47+C48),0.05)</f>
        <v>0</v>
      </c>
      <c r="D49" s="331">
        <f t="shared" ref="D49:H49" si="37">MROUND(D37+(SUM(D40:D46)+D47+D48),0.05)</f>
        <v>0</v>
      </c>
      <c r="E49" s="331">
        <f t="shared" si="37"/>
        <v>0</v>
      </c>
      <c r="F49" s="331">
        <f t="shared" si="37"/>
        <v>0</v>
      </c>
      <c r="G49" s="331">
        <f t="shared" si="37"/>
        <v>0</v>
      </c>
      <c r="H49" s="333">
        <f t="shared" si="37"/>
        <v>0</v>
      </c>
      <c r="I49" s="335" t="str">
        <f t="shared" si="7"/>
        <v>Salaire net</v>
      </c>
      <c r="J49" s="336" t="s">
        <v>136</v>
      </c>
      <c r="K49" s="331">
        <f t="shared" ref="K49:P49" si="38">MROUND(K37+(SUM(K40:K46)+K47+K48),0.05)</f>
        <v>0</v>
      </c>
      <c r="L49" s="331">
        <f t="shared" si="38"/>
        <v>0</v>
      </c>
      <c r="M49" s="331">
        <f t="shared" si="38"/>
        <v>0</v>
      </c>
      <c r="N49" s="331">
        <f t="shared" si="38"/>
        <v>0</v>
      </c>
      <c r="O49" s="331">
        <f t="shared" si="38"/>
        <v>0</v>
      </c>
      <c r="P49" s="333">
        <f t="shared" si="38"/>
        <v>0</v>
      </c>
      <c r="Q49" s="242">
        <f>SUM(C49:H49)+SUM(K49:P49)</f>
        <v>0</v>
      </c>
      <c r="R49" s="57"/>
      <c r="S49" s="57"/>
      <c r="T49" s="57"/>
      <c r="U49" s="57"/>
      <c r="V49" s="57"/>
      <c r="W49" s="101"/>
      <c r="X49" s="58"/>
      <c r="Y49" s="59"/>
      <c r="Z49" s="59"/>
      <c r="AA49" s="59"/>
      <c r="AB49" s="59"/>
      <c r="AC49" s="59"/>
      <c r="AD49" s="59"/>
      <c r="AE49" s="59"/>
    </row>
    <row r="50" spans="1:31" s="2" customFormat="1" ht="15" customHeight="1" x14ac:dyDescent="0.25">
      <c r="A50" s="337" t="s">
        <v>147</v>
      </c>
      <c r="B50" s="330" t="s">
        <v>136</v>
      </c>
      <c r="C50" s="382"/>
      <c r="D50" s="382"/>
      <c r="E50" s="382"/>
      <c r="F50" s="382"/>
      <c r="G50" s="382"/>
      <c r="H50" s="383"/>
      <c r="I50" s="337" t="str">
        <f t="shared" si="7"/>
        <v>Salaire net payé</v>
      </c>
      <c r="J50" s="330" t="s">
        <v>136</v>
      </c>
      <c r="K50" s="382"/>
      <c r="L50" s="382"/>
      <c r="M50" s="382"/>
      <c r="N50" s="382"/>
      <c r="O50" s="382"/>
      <c r="P50" s="383"/>
      <c r="Q50" s="309">
        <f>SUM(C50:H50)+SUM(K50:P50)</f>
        <v>0</v>
      </c>
      <c r="R50" s="57"/>
      <c r="S50" s="57"/>
      <c r="T50" s="57"/>
      <c r="U50" s="57"/>
      <c r="V50" s="57"/>
      <c r="W50" s="101"/>
      <c r="X50" s="58"/>
      <c r="Y50" s="59"/>
      <c r="Z50" s="59"/>
      <c r="AA50" s="59"/>
      <c r="AB50" s="59"/>
      <c r="AC50" s="59"/>
      <c r="AD50" s="59"/>
      <c r="AE50" s="59"/>
    </row>
    <row r="51" spans="1:31" s="2" customFormat="1" ht="15" customHeight="1" x14ac:dyDescent="0.25">
      <c r="A51" s="338" t="s">
        <v>148</v>
      </c>
      <c r="B51" s="339" t="s">
        <v>136</v>
      </c>
      <c r="C51" s="332">
        <f>IF(C50=0,0,C50-C49)</f>
        <v>0</v>
      </c>
      <c r="D51" s="332">
        <f t="shared" ref="D51:H51" si="39">IF(D50=0,0,D50-D49)</f>
        <v>0</v>
      </c>
      <c r="E51" s="332">
        <f t="shared" si="39"/>
        <v>0</v>
      </c>
      <c r="F51" s="332">
        <f t="shared" si="39"/>
        <v>0</v>
      </c>
      <c r="G51" s="332">
        <f t="shared" si="39"/>
        <v>0</v>
      </c>
      <c r="H51" s="334">
        <f t="shared" si="39"/>
        <v>0</v>
      </c>
      <c r="I51" s="338" t="str">
        <f t="shared" si="7"/>
        <v>Différence</v>
      </c>
      <c r="J51" s="339" t="s">
        <v>136</v>
      </c>
      <c r="K51" s="332">
        <f t="shared" ref="K51:P51" si="40">IF(K50=0,0,K50-K49)</f>
        <v>0</v>
      </c>
      <c r="L51" s="332">
        <f t="shared" si="40"/>
        <v>0</v>
      </c>
      <c r="M51" s="332">
        <f t="shared" si="40"/>
        <v>0</v>
      </c>
      <c r="N51" s="332">
        <f t="shared" si="40"/>
        <v>0</v>
      </c>
      <c r="O51" s="332">
        <f t="shared" si="40"/>
        <v>0</v>
      </c>
      <c r="P51" s="334">
        <f t="shared" si="40"/>
        <v>0</v>
      </c>
      <c r="Q51" s="309">
        <f>SUM(C51:H51)+SUM(K51:P51)</f>
        <v>0</v>
      </c>
      <c r="R51" s="57"/>
      <c r="S51" s="57"/>
      <c r="T51" s="57"/>
      <c r="U51" s="57"/>
      <c r="V51" s="57"/>
      <c r="W51" s="101"/>
      <c r="X51" s="58"/>
      <c r="Y51" s="59"/>
      <c r="Z51" s="59"/>
      <c r="AA51" s="59"/>
      <c r="AB51" s="59"/>
      <c r="AC51" s="59"/>
      <c r="AD51" s="59"/>
      <c r="AE51" s="59"/>
    </row>
    <row r="52" spans="1:31" s="2" customFormat="1" ht="15" customHeight="1" x14ac:dyDescent="0.25">
      <c r="A52" s="71" t="s">
        <v>149</v>
      </c>
      <c r="B52" s="326"/>
      <c r="C52" s="458"/>
      <c r="D52" s="458"/>
      <c r="E52" s="458"/>
      <c r="F52" s="458"/>
      <c r="G52" s="458"/>
      <c r="H52" s="462"/>
      <c r="I52" s="71" t="str">
        <f t="shared" si="7"/>
        <v>Remarques</v>
      </c>
      <c r="J52" s="326"/>
      <c r="K52" s="458"/>
      <c r="L52" s="458"/>
      <c r="M52" s="458"/>
      <c r="N52" s="458"/>
      <c r="O52" s="464"/>
      <c r="P52" s="462"/>
      <c r="Q52" s="72">
        <f t="shared" ref="Q52" si="41">SUM(C52:H52)+SUM(K52:P52)</f>
        <v>0</v>
      </c>
      <c r="R52" s="65"/>
      <c r="S52" s="57"/>
      <c r="T52" s="57"/>
      <c r="U52" s="57"/>
      <c r="V52" s="65"/>
      <c r="W52" s="101"/>
      <c r="X52" s="59"/>
      <c r="Y52" s="59"/>
      <c r="Z52" s="59"/>
      <c r="AA52" s="59"/>
      <c r="AB52" s="59"/>
      <c r="AC52" s="59"/>
      <c r="AD52" s="59"/>
      <c r="AE52" s="59"/>
    </row>
    <row r="53" spans="1:31" s="6" customFormat="1" ht="15" customHeight="1" thickBot="1" x14ac:dyDescent="0.3">
      <c r="A53" s="317"/>
      <c r="B53" s="277"/>
      <c r="C53" s="459"/>
      <c r="D53" s="459"/>
      <c r="E53" s="459"/>
      <c r="F53" s="459"/>
      <c r="G53" s="459"/>
      <c r="H53" s="463"/>
      <c r="I53" s="317"/>
      <c r="J53" s="277"/>
      <c r="K53" s="459"/>
      <c r="L53" s="459"/>
      <c r="M53" s="459"/>
      <c r="N53" s="459"/>
      <c r="O53" s="465"/>
      <c r="P53" s="463"/>
      <c r="Q53" s="73"/>
      <c r="R53" s="79"/>
      <c r="S53" s="65"/>
      <c r="T53" s="65"/>
      <c r="U53" s="65"/>
      <c r="V53" s="79"/>
      <c r="W53" s="101"/>
      <c r="X53" s="59"/>
      <c r="Y53" s="59"/>
      <c r="Z53" s="59"/>
      <c r="AA53" s="59"/>
      <c r="AB53" s="59"/>
      <c r="AC53" s="59"/>
      <c r="AD53" s="64"/>
      <c r="AE53" s="64"/>
    </row>
    <row r="54" spans="1:31" s="2" customFormat="1" ht="5.15" customHeight="1" thickBot="1" x14ac:dyDescent="0.35">
      <c r="A54" s="53"/>
      <c r="B54" s="53"/>
      <c r="C54" s="74"/>
      <c r="D54" s="54"/>
      <c r="E54" s="55"/>
      <c r="F54" s="54"/>
      <c r="G54" s="54"/>
      <c r="H54" s="56"/>
      <c r="I54" s="53"/>
      <c r="J54" s="53"/>
      <c r="K54" s="56"/>
      <c r="L54" s="56"/>
      <c r="M54" s="56"/>
      <c r="N54" s="74"/>
      <c r="O54" s="54"/>
      <c r="P54" s="54"/>
      <c r="Q54" s="54">
        <f>SUM(C54:H54)+SUM(K54:P54)</f>
        <v>0</v>
      </c>
      <c r="R54" s="57"/>
      <c r="S54" s="79"/>
      <c r="T54" s="79"/>
      <c r="U54" s="79"/>
      <c r="V54" s="57"/>
      <c r="W54" s="102"/>
      <c r="X54" s="63"/>
      <c r="Y54" s="64"/>
      <c r="Z54" s="64"/>
      <c r="AA54" s="64"/>
      <c r="AB54" s="64"/>
      <c r="AC54" s="64"/>
      <c r="AD54" s="59"/>
      <c r="AE54" s="59"/>
    </row>
    <row r="55" spans="1:31" s="2" customFormat="1" ht="15" customHeight="1" x14ac:dyDescent="0.25">
      <c r="A55" s="318" t="s">
        <v>150</v>
      </c>
      <c r="B55" s="278"/>
      <c r="C55" s="85">
        <f t="shared" ref="C55:H55" si="42">C21</f>
        <v>46023</v>
      </c>
      <c r="D55" s="86">
        <f t="shared" si="42"/>
        <v>46054</v>
      </c>
      <c r="E55" s="86">
        <f t="shared" si="42"/>
        <v>46082</v>
      </c>
      <c r="F55" s="86">
        <f t="shared" si="42"/>
        <v>46113</v>
      </c>
      <c r="G55" s="86">
        <f t="shared" si="42"/>
        <v>46143</v>
      </c>
      <c r="H55" s="87">
        <f t="shared" si="42"/>
        <v>46174</v>
      </c>
      <c r="I55" s="318" t="str">
        <f>A55</f>
        <v>Données pour AssistMe:</v>
      </c>
      <c r="J55" s="278"/>
      <c r="K55" s="86">
        <f t="shared" ref="K55:P55" si="43">K21</f>
        <v>46204</v>
      </c>
      <c r="L55" s="86">
        <f t="shared" si="43"/>
        <v>46235</v>
      </c>
      <c r="M55" s="86">
        <f t="shared" si="43"/>
        <v>46266</v>
      </c>
      <c r="N55" s="88">
        <f t="shared" si="43"/>
        <v>46296</v>
      </c>
      <c r="O55" s="86">
        <f t="shared" si="43"/>
        <v>46327</v>
      </c>
      <c r="P55" s="87">
        <f t="shared" si="43"/>
        <v>46357</v>
      </c>
      <c r="Q55" s="229" t="s">
        <v>134</v>
      </c>
      <c r="R55" s="57"/>
      <c r="S55" s="57"/>
      <c r="T55" s="57"/>
      <c r="U55" s="57"/>
      <c r="V55" s="57"/>
      <c r="W55" s="101"/>
      <c r="X55" s="59"/>
      <c r="Y55" s="59"/>
      <c r="Z55" s="59"/>
      <c r="AA55" s="59"/>
      <c r="AB55" s="59"/>
      <c r="AC55" s="59"/>
      <c r="AD55" s="59"/>
      <c r="AE55" s="59"/>
    </row>
    <row r="56" spans="1:31" s="2" customFormat="1" ht="15" customHeight="1" x14ac:dyDescent="0.25">
      <c r="A56" s="319" t="s">
        <v>151</v>
      </c>
      <c r="B56" s="279" t="s">
        <v>152</v>
      </c>
      <c r="C56" s="292" t="str">
        <f t="shared" ref="C56:H56" si="44">IF($C$16="Salaire horaire",IF($M$8="","",(C25*$P$10)+(C24*$P$7)+C26+C28+(C32+C33)/(IF($M$13&gt;1,((($M$8+$M$13)/2)),$M$8))),"Salaire mensuel")</f>
        <v>Salaire mensuel</v>
      </c>
      <c r="D56" s="292" t="str">
        <f t="shared" si="44"/>
        <v>Salaire mensuel</v>
      </c>
      <c r="E56" s="292" t="str">
        <f t="shared" si="44"/>
        <v>Salaire mensuel</v>
      </c>
      <c r="F56" s="292" t="str">
        <f t="shared" si="44"/>
        <v>Salaire mensuel</v>
      </c>
      <c r="G56" s="292" t="str">
        <f t="shared" si="44"/>
        <v>Salaire mensuel</v>
      </c>
      <c r="H56" s="293" t="str">
        <f t="shared" si="44"/>
        <v>Salaire mensuel</v>
      </c>
      <c r="I56" s="320" t="str">
        <f>A56</f>
        <v>Nombre d'heures</v>
      </c>
      <c r="J56" s="279" t="s">
        <v>153</v>
      </c>
      <c r="K56" s="292" t="str">
        <f t="shared" ref="K56:P56" si="45">IF($C$16="Salaire horaire",IF($M$8="","",(K25*$P$10)+(K24*$P$7)+K26+K28+(K32+K33)/(IF($M$13&gt;1,((($M$8+$M$13)/2)),$M$8))),"Salaire mensuel")</f>
        <v>Salaire mensuel</v>
      </c>
      <c r="L56" s="292" t="str">
        <f t="shared" si="45"/>
        <v>Salaire mensuel</v>
      </c>
      <c r="M56" s="292" t="str">
        <f t="shared" si="45"/>
        <v>Salaire mensuel</v>
      </c>
      <c r="N56" s="292" t="str">
        <f t="shared" si="45"/>
        <v>Salaire mensuel</v>
      </c>
      <c r="O56" s="292" t="str">
        <f t="shared" si="45"/>
        <v>Salaire mensuel</v>
      </c>
      <c r="P56" s="293" t="str">
        <f t="shared" si="45"/>
        <v>Salaire mensuel</v>
      </c>
      <c r="Q56" s="233">
        <f>SUM(C56:H56)+SUM(K56:P56)</f>
        <v>0</v>
      </c>
      <c r="R56" s="57"/>
      <c r="S56" s="57"/>
      <c r="T56" s="57"/>
      <c r="U56" s="57"/>
      <c r="V56" s="57"/>
      <c r="W56" s="101"/>
      <c r="X56" s="59"/>
      <c r="Y56" s="59"/>
      <c r="Z56" s="59"/>
      <c r="AA56" s="59"/>
      <c r="AB56" s="59"/>
      <c r="AC56" s="59"/>
      <c r="AD56" s="59"/>
      <c r="AE56" s="59"/>
    </row>
    <row r="57" spans="1:31" s="2" customFormat="1" ht="15" customHeight="1" x14ac:dyDescent="0.25">
      <c r="A57" s="320" t="s">
        <v>146</v>
      </c>
      <c r="B57" s="280" t="s">
        <v>136</v>
      </c>
      <c r="C57" s="294">
        <f>C49-C48-C47-C46-C36-C35-C34-C31</f>
        <v>0</v>
      </c>
      <c r="D57" s="294">
        <f t="shared" ref="D57:H57" si="46">D49-D48-D47-D46-D36-D35-D34-D31</f>
        <v>0</v>
      </c>
      <c r="E57" s="294">
        <f t="shared" si="46"/>
        <v>0</v>
      </c>
      <c r="F57" s="294">
        <f t="shared" si="46"/>
        <v>0</v>
      </c>
      <c r="G57" s="294">
        <f t="shared" si="46"/>
        <v>0</v>
      </c>
      <c r="H57" s="293">
        <f t="shared" si="46"/>
        <v>0</v>
      </c>
      <c r="I57" s="320" t="str">
        <f>A57</f>
        <v>Salaire net</v>
      </c>
      <c r="J57" s="280" t="s">
        <v>136</v>
      </c>
      <c r="K57" s="60">
        <f t="shared" ref="K57:P57" si="47">K49-K48-K47-K46-K36-K35-K34-K31</f>
        <v>0</v>
      </c>
      <c r="L57" s="60">
        <f t="shared" si="47"/>
        <v>0</v>
      </c>
      <c r="M57" s="60">
        <f t="shared" si="47"/>
        <v>0</v>
      </c>
      <c r="N57" s="301">
        <f t="shared" si="47"/>
        <v>0</v>
      </c>
      <c r="O57" s="60">
        <f t="shared" si="47"/>
        <v>0</v>
      </c>
      <c r="P57" s="61">
        <f t="shared" si="47"/>
        <v>0</v>
      </c>
      <c r="Q57" s="61">
        <f>SUM(C57:H57)+SUM(K57:P57)</f>
        <v>0</v>
      </c>
      <c r="R57" s="57"/>
      <c r="S57" s="57"/>
      <c r="T57" s="57"/>
      <c r="U57" s="57"/>
      <c r="V57" s="57"/>
      <c r="W57" s="101"/>
      <c r="X57" s="58"/>
      <c r="Y57" s="59"/>
      <c r="Z57" s="59"/>
      <c r="AA57" s="59"/>
      <c r="AB57" s="59"/>
      <c r="AC57" s="59"/>
      <c r="AD57" s="59"/>
      <c r="AE57" s="59"/>
    </row>
    <row r="58" spans="1:31" s="2" customFormat="1" ht="15" customHeight="1" thickBot="1" x14ac:dyDescent="0.3">
      <c r="A58" s="321" t="s">
        <v>154</v>
      </c>
      <c r="B58" s="281" t="s">
        <v>136</v>
      </c>
      <c r="C58" s="295">
        <f>IF(C32&gt;0.1,C32-(C32*(SUM($T$8:$T$14)+$Y$9+$T$16))-(C32/IF(C39=0,1,C39)*-C44),IF(C32&lt;-0.1,C32-(C32*(SUM($T$8:$T$14)+$Y$9+$T$16))-(C32/IF(C39=0,1,C39)*-C44),0))</f>
        <v>0</v>
      </c>
      <c r="D58" s="295">
        <f t="shared" ref="D58:H58" si="48">IF(D32&gt;0.1,D32-(D32*(SUM($T$8:$T$14)+$Y$9+$T$16))-(D32/IF(D39=0,1,D39)*-D44),IF(D32&lt;-0.1,D32-(D32*(SUM($T$8:$T$14)+$Y$9+$T$16))-(D32/IF(D39=0,1,D39)*-D44),0))</f>
        <v>0</v>
      </c>
      <c r="E58" s="295">
        <f t="shared" si="48"/>
        <v>0</v>
      </c>
      <c r="F58" s="295">
        <f t="shared" si="48"/>
        <v>0</v>
      </c>
      <c r="G58" s="295">
        <f t="shared" si="48"/>
        <v>0</v>
      </c>
      <c r="H58" s="296">
        <f t="shared" si="48"/>
        <v>0</v>
      </c>
      <c r="I58" s="321" t="str">
        <f>A58</f>
        <v>Dont oblig. de verser le salaire (art. 324a CO)</v>
      </c>
      <c r="J58" s="281" t="s">
        <v>136</v>
      </c>
      <c r="K58" s="295">
        <f t="shared" ref="K58:P58" si="49">IF(K32&gt;0.1,K32-(K32*(SUM($T$8:$T$14)+$Y$9+$T$16))-(K32/IF(K39=0,1,K39)*-K44),IF(K32&lt;-0.1,K32-(K32*(SUM($T$8:$T$14)+$Y$9+$T$16))-(K32/IF(K39=0,1,K39)*-K44),0))</f>
        <v>0</v>
      </c>
      <c r="L58" s="295">
        <f t="shared" si="49"/>
        <v>0</v>
      </c>
      <c r="M58" s="295">
        <f t="shared" si="49"/>
        <v>0</v>
      </c>
      <c r="N58" s="295">
        <f t="shared" si="49"/>
        <v>0</v>
      </c>
      <c r="O58" s="295">
        <f t="shared" si="49"/>
        <v>0</v>
      </c>
      <c r="P58" s="296">
        <f t="shared" si="49"/>
        <v>0</v>
      </c>
      <c r="Q58" s="84">
        <f>SUM(C58:H58)+SUM(K58:P58)</f>
        <v>0</v>
      </c>
      <c r="R58" s="57"/>
      <c r="S58" s="57"/>
      <c r="T58" s="57"/>
      <c r="U58" s="57"/>
      <c r="V58" s="57"/>
      <c r="W58" s="101"/>
      <c r="X58" s="58"/>
      <c r="Y58" s="59"/>
      <c r="Z58" s="59"/>
      <c r="AA58" s="59"/>
      <c r="AB58" s="59"/>
      <c r="AC58" s="59"/>
      <c r="AD58" s="59"/>
      <c r="AE58" s="59"/>
    </row>
    <row r="59" spans="1:31" s="6" customFormat="1" ht="5.15" customHeight="1" thickBot="1" x14ac:dyDescent="0.3">
      <c r="A59" s="2"/>
      <c r="B59" s="2"/>
      <c r="C59" s="65"/>
      <c r="D59" s="57"/>
      <c r="E59" s="66"/>
      <c r="F59" s="57"/>
      <c r="G59" s="57"/>
      <c r="H59" s="67"/>
      <c r="I59" s="2"/>
      <c r="J59" s="2"/>
      <c r="K59" s="67"/>
      <c r="L59" s="67"/>
      <c r="M59" s="67"/>
      <c r="N59" s="65"/>
      <c r="O59" s="57"/>
      <c r="P59" s="57"/>
      <c r="Q59" s="57"/>
      <c r="R59" s="62"/>
      <c r="S59" s="57"/>
      <c r="T59" s="57"/>
      <c r="U59" s="57"/>
      <c r="V59" s="62"/>
      <c r="W59" s="101"/>
      <c r="X59" s="58"/>
      <c r="Y59" s="59"/>
      <c r="Z59" s="59"/>
      <c r="AA59" s="59"/>
      <c r="AB59" s="59"/>
      <c r="AC59" s="59"/>
      <c r="AD59" s="64"/>
      <c r="AE59" s="64"/>
    </row>
    <row r="60" spans="1:31" s="6" customFormat="1" ht="15" customHeight="1" x14ac:dyDescent="0.3">
      <c r="A60" s="322" t="str">
        <f>IF(G12="oui","Contribution d'assistance de l'AI","")</f>
        <v/>
      </c>
      <c r="B60" s="282"/>
      <c r="C60" s="226" t="str">
        <f>IF($G$12="oui",C21,"")</f>
        <v/>
      </c>
      <c r="D60" s="226" t="str">
        <f t="shared" ref="D60:H60" si="50">IF($G$12="oui",D21,"")</f>
        <v/>
      </c>
      <c r="E60" s="226" t="str">
        <f t="shared" si="50"/>
        <v/>
      </c>
      <c r="F60" s="226" t="str">
        <f t="shared" si="50"/>
        <v/>
      </c>
      <c r="G60" s="226" t="str">
        <f t="shared" si="50"/>
        <v/>
      </c>
      <c r="H60" s="227" t="str">
        <f t="shared" si="50"/>
        <v/>
      </c>
      <c r="I60" s="322" t="str">
        <f t="shared" ref="I60:I64" si="51">A60</f>
        <v/>
      </c>
      <c r="J60" s="282"/>
      <c r="K60" s="226" t="str">
        <f>IF($G$12="oui",K21,"")</f>
        <v/>
      </c>
      <c r="L60" s="226" t="str">
        <f t="shared" ref="L60:P60" si="52">IF($G$12="oui",L21,"")</f>
        <v/>
      </c>
      <c r="M60" s="226" t="str">
        <f t="shared" si="52"/>
        <v/>
      </c>
      <c r="N60" s="226" t="str">
        <f t="shared" si="52"/>
        <v/>
      </c>
      <c r="O60" s="226" t="str">
        <f t="shared" si="52"/>
        <v/>
      </c>
      <c r="P60" s="227" t="str">
        <f t="shared" si="52"/>
        <v/>
      </c>
      <c r="Q60" s="230" t="str">
        <f>IF($G$12="Oui","Total","")</f>
        <v/>
      </c>
      <c r="R60" s="62"/>
      <c r="S60" s="62"/>
      <c r="T60" s="62"/>
      <c r="U60" s="62"/>
      <c r="V60" s="62"/>
      <c r="W60" s="102"/>
      <c r="X60" s="63"/>
      <c r="Y60" s="64"/>
      <c r="Z60" s="64"/>
      <c r="AA60" s="64"/>
      <c r="AB60" s="64"/>
      <c r="AC60" s="64"/>
      <c r="AD60" s="64"/>
      <c r="AE60" s="64"/>
    </row>
    <row r="61" spans="1:31" s="2" customFormat="1" ht="15" customHeight="1" x14ac:dyDescent="0.3">
      <c r="A61" s="323" t="str">
        <f>IF(G12="oui","A) Nb. d'heures standard","")</f>
        <v/>
      </c>
      <c r="B61" s="283" t="str">
        <f>IF(G12="oui","h"," ")</f>
        <v xml:space="preserve"> </v>
      </c>
      <c r="C61" s="297" t="str">
        <f>IF($G$12="oui",(IF(DATEDIF($F$7,C$21,"Y")&lt;18,0,C26+C28)),"")</f>
        <v/>
      </c>
      <c r="D61" s="297" t="str">
        <f t="shared" ref="D61:H61" si="53">IF($G$12="oui",(IF(DATEDIF($F$7,D$21,"Y")&lt;18,0,D26+D28)),"")</f>
        <v/>
      </c>
      <c r="E61" s="297" t="str">
        <f t="shared" si="53"/>
        <v/>
      </c>
      <c r="F61" s="297" t="str">
        <f t="shared" si="53"/>
        <v/>
      </c>
      <c r="G61" s="297" t="str">
        <f t="shared" si="53"/>
        <v/>
      </c>
      <c r="H61" s="298" t="str">
        <f t="shared" si="53"/>
        <v/>
      </c>
      <c r="I61" s="324" t="str">
        <f t="shared" si="51"/>
        <v/>
      </c>
      <c r="J61" s="283" t="str">
        <f>B61</f>
        <v xml:space="preserve"> </v>
      </c>
      <c r="K61" s="297" t="str">
        <f>IF($G$12="oui",(IF(DATEDIF($F$7,K$21,"Y")&lt;18,0,K26+K28)),"")</f>
        <v/>
      </c>
      <c r="L61" s="297" t="str">
        <f t="shared" ref="L61:P61" si="54">IF($G$12="oui",(IF(DATEDIF($F$7,L$21,"Y")&lt;18,0,L26+L28)),"")</f>
        <v/>
      </c>
      <c r="M61" s="297" t="str">
        <f t="shared" si="54"/>
        <v/>
      </c>
      <c r="N61" s="297" t="str">
        <f t="shared" si="54"/>
        <v/>
      </c>
      <c r="O61" s="297" t="str">
        <f t="shared" si="54"/>
        <v/>
      </c>
      <c r="P61" s="298" t="str">
        <f t="shared" si="54"/>
        <v/>
      </c>
      <c r="Q61" s="402" t="str">
        <f>IF($G$12="Oui",SUM(C61:H61)+SUM(K61:P61),"")</f>
        <v/>
      </c>
      <c r="R61" s="57"/>
      <c r="S61" s="62"/>
      <c r="T61" s="62"/>
      <c r="U61" s="62"/>
      <c r="V61" s="57"/>
      <c r="W61" s="102"/>
      <c r="X61" s="63"/>
      <c r="Y61" s="64"/>
      <c r="Z61" s="64"/>
      <c r="AA61" s="64"/>
      <c r="AB61" s="64"/>
      <c r="AC61" s="64"/>
      <c r="AD61" s="59"/>
      <c r="AE61" s="59"/>
    </row>
    <row r="62" spans="1:31" s="2" customFormat="1" ht="15" customHeight="1" x14ac:dyDescent="0.25">
      <c r="A62" s="324" t="str">
        <f>IF(G12="oui","B) Nb. d'heures quali B","")</f>
        <v/>
      </c>
      <c r="B62" s="284" t="str">
        <f>IF(G12="oui","h"," ")</f>
        <v xml:space="preserve"> </v>
      </c>
      <c r="C62" s="297"/>
      <c r="D62" s="297"/>
      <c r="E62" s="297"/>
      <c r="F62" s="297"/>
      <c r="G62" s="297"/>
      <c r="H62" s="298"/>
      <c r="I62" s="324" t="str">
        <f t="shared" si="51"/>
        <v/>
      </c>
      <c r="J62" s="284" t="str">
        <f>B62</f>
        <v xml:space="preserve"> </v>
      </c>
      <c r="K62" s="297"/>
      <c r="L62" s="297"/>
      <c r="M62" s="297"/>
      <c r="N62" s="297"/>
      <c r="O62" s="297"/>
      <c r="P62" s="298"/>
      <c r="Q62" s="228" t="str">
        <f>IF($G$12="Oui",SUM(C62:H62)+SUM(K62:P62),"")</f>
        <v/>
      </c>
      <c r="R62" s="57"/>
      <c r="S62" s="57"/>
      <c r="T62" s="57"/>
      <c r="U62" s="57"/>
      <c r="V62" s="57"/>
      <c r="W62" s="101"/>
      <c r="X62" s="58"/>
      <c r="Y62" s="58"/>
      <c r="Z62" s="58"/>
      <c r="AA62" s="58"/>
      <c r="AB62" s="58"/>
      <c r="AC62" s="58"/>
      <c r="AD62" s="58"/>
      <c r="AE62" s="58"/>
    </row>
    <row r="63" spans="1:31" s="2" customFormat="1" ht="15" customHeight="1" x14ac:dyDescent="0.25">
      <c r="A63" s="445" t="str">
        <f>IF($G$12="oui","C) Nb. d'engagements 
de nuit","")</f>
        <v/>
      </c>
      <c r="B63" s="448" t="str">
        <f>IF(G12="oui","Nb."," ")</f>
        <v xml:space="preserve"> </v>
      </c>
      <c r="C63" s="376" t="str">
        <f>IF($G$12="Oui",(IF(DATEDIF($F$7,C$21,"Y")&lt;18,0,C25)),"")</f>
        <v/>
      </c>
      <c r="D63" s="376" t="str">
        <f t="shared" ref="D63:H63" si="55">IF($G$12="Oui",(IF(DATEDIF($F$7,D$21,"Y")&lt;18,0,D25)),"")</f>
        <v/>
      </c>
      <c r="E63" s="376" t="str">
        <f t="shared" si="55"/>
        <v/>
      </c>
      <c r="F63" s="376" t="str">
        <f t="shared" si="55"/>
        <v/>
      </c>
      <c r="G63" s="376" t="str">
        <f t="shared" si="55"/>
        <v/>
      </c>
      <c r="H63" s="377" t="str">
        <f t="shared" si="55"/>
        <v/>
      </c>
      <c r="I63" s="324" t="str">
        <f t="shared" si="51"/>
        <v/>
      </c>
      <c r="J63" s="284" t="str">
        <f>B63</f>
        <v xml:space="preserve"> </v>
      </c>
      <c r="K63" s="376" t="str">
        <f>IF($G$12="Oui",(IF(DATEDIF($F$7,K$21,"Y")&lt;18,0,K25)),"")</f>
        <v/>
      </c>
      <c r="L63" s="376" t="str">
        <f t="shared" ref="L63:P63" si="56">IF($G$12="Oui",(IF(DATEDIF($F$7,L$21,"Y")&lt;18,0,L25)),"")</f>
        <v/>
      </c>
      <c r="M63" s="376" t="str">
        <f t="shared" si="56"/>
        <v/>
      </c>
      <c r="N63" s="376" t="str">
        <f t="shared" si="56"/>
        <v/>
      </c>
      <c r="O63" s="376" t="str">
        <f t="shared" si="56"/>
        <v/>
      </c>
      <c r="P63" s="377" t="str">
        <f t="shared" si="56"/>
        <v/>
      </c>
      <c r="Q63" s="228" t="str">
        <f>IF($G$12="Oui",SUM(C63:H63)+SUM(K63:P63),"")</f>
        <v/>
      </c>
      <c r="R63" s="57"/>
      <c r="S63" s="57"/>
      <c r="T63" s="57"/>
      <c r="U63" s="57"/>
      <c r="V63" s="57"/>
      <c r="W63" s="101"/>
      <c r="X63" s="58"/>
      <c r="Y63" s="58"/>
      <c r="Z63" s="58"/>
      <c r="AA63" s="58"/>
      <c r="AB63" s="58"/>
      <c r="AC63" s="58"/>
      <c r="AD63" s="58"/>
      <c r="AE63" s="58"/>
    </row>
    <row r="64" spans="1:31" s="2" customFormat="1" ht="15" customHeight="1" thickBot="1" x14ac:dyDescent="0.3">
      <c r="A64" s="446" t="str">
        <f>IF(G12="oui","Oblig. de verser le salaire","")</f>
        <v/>
      </c>
      <c r="B64" s="449"/>
      <c r="C64" s="299" t="str">
        <f>IF($G$12="Oui",(IF(DATEDIF($F$7,C$21,"Y")&lt;18,0,(IF(OR(C32&gt;0.1,C33&gt;0.1),"décompter","")))),"")</f>
        <v/>
      </c>
      <c r="D64" s="299" t="str">
        <f t="shared" ref="D64:H64" si="57">IF($G$12="Oui",(IF(DATEDIF($F$7,D$21,"Y")&lt;18,0,(IF(OR(D32&gt;0.1,D33&gt;0.1),"décompter","")))),"")</f>
        <v/>
      </c>
      <c r="E64" s="299" t="str">
        <f t="shared" si="57"/>
        <v/>
      </c>
      <c r="F64" s="299" t="str">
        <f t="shared" si="57"/>
        <v/>
      </c>
      <c r="G64" s="299" t="str">
        <f t="shared" si="57"/>
        <v/>
      </c>
      <c r="H64" s="300" t="str">
        <f t="shared" si="57"/>
        <v/>
      </c>
      <c r="I64" s="325" t="str">
        <f t="shared" si="51"/>
        <v/>
      </c>
      <c r="J64" s="285">
        <f>B64</f>
        <v>0</v>
      </c>
      <c r="K64" s="299" t="str">
        <f>IF($G$12="Oui",(IF(DATEDIF($F$7,K$21,"Y")&lt;18,0,(IF(OR(K32&gt;0.1,K33&gt;0.1),"décompter","")))),"")</f>
        <v/>
      </c>
      <c r="L64" s="299" t="str">
        <f t="shared" ref="L64:P64" si="58">IF($G$12="Oui",(IF(DATEDIF($F$7,L$21,"Y")&lt;18,0,(IF(OR(L32&gt;0.1,L33&gt;0.1),"décompter","")))),"")</f>
        <v/>
      </c>
      <c r="M64" s="299" t="str">
        <f t="shared" si="58"/>
        <v/>
      </c>
      <c r="N64" s="299" t="str">
        <f t="shared" si="58"/>
        <v/>
      </c>
      <c r="O64" s="299" t="str">
        <f t="shared" si="58"/>
        <v/>
      </c>
      <c r="P64" s="300" t="str">
        <f t="shared" si="58"/>
        <v/>
      </c>
      <c r="Q64" s="231" t="str">
        <f>IF($G$12="oui",SUM(C64:H64)+SUM(K64:P64),"")</f>
        <v/>
      </c>
      <c r="R64" s="57"/>
      <c r="S64" s="57"/>
      <c r="T64" s="57"/>
      <c r="U64" s="57"/>
      <c r="V64" s="57"/>
      <c r="W64" s="101"/>
      <c r="X64" s="58"/>
      <c r="Y64" s="58"/>
      <c r="Z64" s="58"/>
      <c r="AA64" s="58"/>
      <c r="AB64" s="58"/>
      <c r="AC64" s="58"/>
      <c r="AD64" s="58"/>
      <c r="AE64" s="58"/>
    </row>
    <row r="65" spans="1:31" s="6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2"/>
      <c r="K65" s="1"/>
      <c r="L65" s="1"/>
      <c r="M65" s="1"/>
      <c r="N65" s="1"/>
      <c r="O65" s="1"/>
      <c r="P65" s="1"/>
      <c r="Q65" s="1"/>
      <c r="R65" s="62"/>
      <c r="S65" s="1"/>
      <c r="T65" s="1"/>
      <c r="U65" s="1"/>
      <c r="V65" s="62"/>
      <c r="W65" s="101"/>
      <c r="X65" s="58"/>
      <c r="Y65" s="58"/>
      <c r="Z65" s="58"/>
      <c r="AA65" s="58"/>
      <c r="AB65" s="58"/>
      <c r="AC65" s="58"/>
      <c r="AD65" s="63"/>
      <c r="AE65" s="63"/>
    </row>
    <row r="66" spans="1:31" s="415" customFormat="1" ht="15" customHeight="1" x14ac:dyDescent="0.25">
      <c r="A66" s="1"/>
      <c r="B66" s="1"/>
      <c r="C66" s="412"/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12"/>
      <c r="Q66" s="412"/>
      <c r="R66" s="413"/>
      <c r="S66" s="412"/>
      <c r="T66" s="412"/>
      <c r="U66" s="412"/>
      <c r="V66" s="413"/>
      <c r="W66" s="429"/>
      <c r="X66" s="414"/>
      <c r="Y66" s="414"/>
      <c r="Z66" s="414"/>
      <c r="AA66" s="414"/>
      <c r="AB66" s="414"/>
      <c r="AC66" s="414"/>
      <c r="AD66" s="414"/>
      <c r="AE66" s="414"/>
    </row>
    <row r="67" spans="1:31" s="412" customFormat="1" ht="15" hidden="1" customHeight="1" x14ac:dyDescent="0.2">
      <c r="A67" s="412" t="s">
        <v>155</v>
      </c>
      <c r="C67" s="424" t="str">
        <f>IF(AND($C$14&lt;=EOMONTH(C$21,0),OR($C$15&gt;=C$21,$C$15=""),$F$17&lt;=C$21),"oui","no")</f>
        <v>no</v>
      </c>
      <c r="D67" s="424" t="str">
        <f t="shared" ref="D67:H67" si="59">IF(AND($C$14&lt;=EOMONTH(D$21,0),OR($C$15&gt;=D$21,$C$15=""),$F$17&lt;=D$21),"oui","no")</f>
        <v>no</v>
      </c>
      <c r="E67" s="424" t="str">
        <f t="shared" si="59"/>
        <v>no</v>
      </c>
      <c r="F67" s="424" t="str">
        <f t="shared" si="59"/>
        <v>no</v>
      </c>
      <c r="G67" s="424" t="str">
        <f t="shared" si="59"/>
        <v>no</v>
      </c>
      <c r="H67" s="424" t="str">
        <f t="shared" si="59"/>
        <v>no</v>
      </c>
      <c r="I67" s="424"/>
      <c r="J67" s="424"/>
      <c r="K67" s="424" t="str">
        <f>IF(AND($C$14&lt;=EOMONTH(K$21,0),OR($C$15&gt;=K$21,$C$15=""),$F$17&lt;=K$21),"oui","no")</f>
        <v>no</v>
      </c>
      <c r="L67" s="424" t="str">
        <f t="shared" ref="L67:P67" si="60">IF(AND($C$14&lt;=EOMONTH(L$21,0),OR($C$15&gt;=L$21,$C$15=""),$F$17&lt;=L$21),"oui","no")</f>
        <v>no</v>
      </c>
      <c r="M67" s="424" t="str">
        <f t="shared" si="60"/>
        <v>no</v>
      </c>
      <c r="N67" s="424" t="str">
        <f t="shared" si="60"/>
        <v>no</v>
      </c>
      <c r="O67" s="424" t="str">
        <f t="shared" si="60"/>
        <v>no</v>
      </c>
      <c r="P67" s="424" t="str">
        <f t="shared" si="60"/>
        <v>no</v>
      </c>
      <c r="X67" s="416"/>
      <c r="Y67" s="416"/>
      <c r="Z67" s="416"/>
      <c r="AA67" s="416"/>
      <c r="AB67" s="416"/>
      <c r="AC67" s="416"/>
      <c r="AD67" s="416"/>
      <c r="AE67" s="416"/>
    </row>
    <row r="68" spans="1:31" s="412" customFormat="1" ht="10" hidden="1" x14ac:dyDescent="0.2">
      <c r="X68" s="416"/>
      <c r="Y68" s="416"/>
      <c r="Z68" s="416"/>
      <c r="AA68" s="416"/>
      <c r="AB68" s="416"/>
      <c r="AC68" s="416"/>
      <c r="AD68" s="416"/>
      <c r="AE68" s="416"/>
    </row>
    <row r="69" spans="1:31" s="412" customFormat="1" ht="10.5" hidden="1" x14ac:dyDescent="0.25">
      <c r="A69" s="417"/>
      <c r="C69" s="418">
        <f>C$21</f>
        <v>46023</v>
      </c>
      <c r="D69" s="418">
        <f t="shared" ref="D69:H69" si="61">D$21</f>
        <v>46054</v>
      </c>
      <c r="E69" s="418">
        <f t="shared" si="61"/>
        <v>46082</v>
      </c>
      <c r="F69" s="418">
        <f t="shared" si="61"/>
        <v>46113</v>
      </c>
      <c r="G69" s="418">
        <f t="shared" si="61"/>
        <v>46143</v>
      </c>
      <c r="H69" s="418">
        <f t="shared" si="61"/>
        <v>46174</v>
      </c>
      <c r="K69" s="418">
        <f>K$21</f>
        <v>46204</v>
      </c>
      <c r="L69" s="418">
        <f t="shared" ref="L69:P69" si="62">L$21</f>
        <v>46235</v>
      </c>
      <c r="M69" s="418">
        <f t="shared" si="62"/>
        <v>46266</v>
      </c>
      <c r="N69" s="418">
        <f t="shared" si="62"/>
        <v>46296</v>
      </c>
      <c r="O69" s="418">
        <f t="shared" si="62"/>
        <v>46327</v>
      </c>
      <c r="P69" s="418">
        <f t="shared" si="62"/>
        <v>46357</v>
      </c>
      <c r="X69" s="416"/>
      <c r="Y69" s="416"/>
      <c r="Z69" s="416"/>
      <c r="AA69" s="416"/>
      <c r="AB69" s="416"/>
      <c r="AC69" s="416"/>
      <c r="AD69" s="416"/>
      <c r="AE69" s="416"/>
    </row>
    <row r="70" spans="1:31" s="412" customFormat="1" ht="10.5" hidden="1" x14ac:dyDescent="0.25">
      <c r="A70" s="419" t="s">
        <v>156</v>
      </c>
      <c r="C70" s="419">
        <f t="shared" ref="C70:H70" si="63">IF($C$16="Salaire horaire",SUM(C$27,C$29,C$30,C$31,C$32,C$33,C$34),SUM(C$22,C$23,C$30,C$31,C$32,C$33,C$34))</f>
        <v>0</v>
      </c>
      <c r="D70" s="419">
        <f t="shared" si="63"/>
        <v>0</v>
      </c>
      <c r="E70" s="419">
        <f t="shared" si="63"/>
        <v>0</v>
      </c>
      <c r="F70" s="419">
        <f t="shared" si="63"/>
        <v>0</v>
      </c>
      <c r="G70" s="419">
        <f t="shared" si="63"/>
        <v>0</v>
      </c>
      <c r="H70" s="419">
        <f t="shared" si="63"/>
        <v>0</v>
      </c>
      <c r="K70" s="419">
        <f t="shared" ref="K70:P70" si="64">IF($C$16="Salaire horaire",SUM(K$27,K$29,K$30,K$31,K$32,K$33,K$34),SUM(K$22,K$23,K$30,K$31,K$32,K$33,K$34))</f>
        <v>0</v>
      </c>
      <c r="L70" s="419">
        <f t="shared" si="64"/>
        <v>0</v>
      </c>
      <c r="M70" s="419">
        <f t="shared" si="64"/>
        <v>0</v>
      </c>
      <c r="N70" s="419">
        <f t="shared" si="64"/>
        <v>0</v>
      </c>
      <c r="O70" s="419">
        <f t="shared" si="64"/>
        <v>0</v>
      </c>
      <c r="P70" s="419">
        <f t="shared" si="64"/>
        <v>0</v>
      </c>
      <c r="X70" s="416"/>
      <c r="Y70" s="416"/>
      <c r="Z70" s="416"/>
      <c r="AA70" s="416"/>
      <c r="AB70" s="416"/>
      <c r="AC70" s="416"/>
      <c r="AD70" s="416"/>
      <c r="AE70" s="416"/>
    </row>
    <row r="71" spans="1:31" s="412" customFormat="1" ht="10.5" hidden="1" x14ac:dyDescent="0.25">
      <c r="A71" s="419" t="s">
        <v>157</v>
      </c>
      <c r="C71" s="419">
        <f>IF(C$73=0,0,C$70)</f>
        <v>0</v>
      </c>
      <c r="D71" s="419">
        <f>IF(D$73=0,0,D$70+C$71)</f>
        <v>0</v>
      </c>
      <c r="E71" s="419">
        <f t="shared" ref="E71:G71" si="65">IF(E$73=0,0,E$70+D$71)</f>
        <v>0</v>
      </c>
      <c r="F71" s="419">
        <f t="shared" si="65"/>
        <v>0</v>
      </c>
      <c r="G71" s="419">
        <f t="shared" si="65"/>
        <v>0</v>
      </c>
      <c r="H71" s="419">
        <f>IF(H$73=0,0,H$70+G$71)</f>
        <v>0</v>
      </c>
      <c r="K71" s="419">
        <f>IF(K$73=0,0,K$70+H$71)</f>
        <v>0</v>
      </c>
      <c r="L71" s="419">
        <f>IF(L$73=0,0,L$70+K$71)</f>
        <v>0</v>
      </c>
      <c r="M71" s="419">
        <f t="shared" ref="M71:P71" si="66">IF(M$73=0,0,M$70+L$71)</f>
        <v>0</v>
      </c>
      <c r="N71" s="419">
        <f t="shared" si="66"/>
        <v>0</v>
      </c>
      <c r="O71" s="419">
        <f t="shared" si="66"/>
        <v>0</v>
      </c>
      <c r="P71" s="419">
        <f t="shared" si="66"/>
        <v>0</v>
      </c>
      <c r="X71" s="416"/>
      <c r="Y71" s="416"/>
      <c r="Z71" s="416"/>
      <c r="AA71" s="416"/>
      <c r="AB71" s="416"/>
      <c r="AC71" s="416"/>
      <c r="AD71" s="416"/>
      <c r="AE71" s="416"/>
    </row>
    <row r="72" spans="1:31" s="412" customFormat="1" ht="10.5" hidden="1" x14ac:dyDescent="0.25">
      <c r="A72" s="419"/>
      <c r="C72" s="419"/>
      <c r="D72" s="419"/>
      <c r="E72" s="419"/>
      <c r="F72" s="419"/>
      <c r="G72" s="419"/>
      <c r="H72" s="419"/>
      <c r="K72" s="419"/>
      <c r="L72" s="419"/>
      <c r="M72" s="419"/>
      <c r="N72" s="419"/>
      <c r="O72" s="419"/>
      <c r="P72" s="419"/>
      <c r="X72" s="416"/>
      <c r="Y72" s="416"/>
      <c r="Z72" s="416"/>
      <c r="AA72" s="416"/>
      <c r="AB72" s="416"/>
      <c r="AC72" s="416"/>
      <c r="AD72" s="416"/>
      <c r="AE72" s="416"/>
    </row>
    <row r="73" spans="1:31" s="412" customFormat="1" ht="10.5" hidden="1" x14ac:dyDescent="0.25">
      <c r="A73" s="419" t="s">
        <v>6</v>
      </c>
      <c r="C73" s="419">
        <f>IF(C$67="oui",Grundlagen!$B$7,0)</f>
        <v>0</v>
      </c>
      <c r="D73" s="419">
        <f>IF(D$67="oui",Grundlagen!$B$7,0)</f>
        <v>0</v>
      </c>
      <c r="E73" s="419">
        <f>IF(E$67="oui",Grundlagen!$B$7,0)</f>
        <v>0</v>
      </c>
      <c r="F73" s="419">
        <f>IF(F$67="oui",Grundlagen!$B$7,0)</f>
        <v>0</v>
      </c>
      <c r="G73" s="419">
        <f>IF(G$67="oui",Grundlagen!$B$7,0)</f>
        <v>0</v>
      </c>
      <c r="H73" s="419">
        <f>IF(H$67="oui",Grundlagen!$B$7,0)</f>
        <v>0</v>
      </c>
      <c r="K73" s="419">
        <f>IF(K$67="oui",Grundlagen!$B$7,0)</f>
        <v>0</v>
      </c>
      <c r="L73" s="419">
        <f>IF(L$67="oui",Grundlagen!$B$7,0)</f>
        <v>0</v>
      </c>
      <c r="M73" s="419">
        <f>IF(M$67="oui",Grundlagen!$B$7,0)</f>
        <v>0</v>
      </c>
      <c r="N73" s="419">
        <f>IF(N$67="oui",Grundlagen!$B$7,0)</f>
        <v>0</v>
      </c>
      <c r="O73" s="419">
        <f>IF(O$67="oui",Grundlagen!$B$7,0)</f>
        <v>0</v>
      </c>
      <c r="P73" s="419">
        <f>IF(P$67="oui",Grundlagen!$B$7,0)</f>
        <v>0</v>
      </c>
      <c r="X73" s="416"/>
      <c r="Y73" s="416"/>
      <c r="Z73" s="416"/>
      <c r="AA73" s="416"/>
      <c r="AB73" s="416"/>
      <c r="AC73" s="416"/>
      <c r="AD73" s="416"/>
      <c r="AE73" s="416"/>
    </row>
    <row r="74" spans="1:31" s="412" customFormat="1" ht="10.5" hidden="1" x14ac:dyDescent="0.25">
      <c r="A74" s="419" t="s">
        <v>158</v>
      </c>
      <c r="C74" s="419">
        <f>C$73</f>
        <v>0</v>
      </c>
      <c r="D74" s="419">
        <f>C$74+D$73</f>
        <v>0</v>
      </c>
      <c r="E74" s="419">
        <f t="shared" ref="E74:H74" si="67">D$74+E$73</f>
        <v>0</v>
      </c>
      <c r="F74" s="419">
        <f t="shared" si="67"/>
        <v>0</v>
      </c>
      <c r="G74" s="419">
        <f t="shared" si="67"/>
        <v>0</v>
      </c>
      <c r="H74" s="419">
        <f t="shared" si="67"/>
        <v>0</v>
      </c>
      <c r="K74" s="419">
        <f>H$74+K$73</f>
        <v>0</v>
      </c>
      <c r="L74" s="419">
        <f>K$74+L$73</f>
        <v>0</v>
      </c>
      <c r="M74" s="419">
        <f t="shared" ref="M74:P74" si="68">L$74+M$73</f>
        <v>0</v>
      </c>
      <c r="N74" s="419">
        <f t="shared" si="68"/>
        <v>0</v>
      </c>
      <c r="O74" s="419">
        <f t="shared" si="68"/>
        <v>0</v>
      </c>
      <c r="P74" s="419">
        <f t="shared" si="68"/>
        <v>0</v>
      </c>
      <c r="X74" s="416"/>
      <c r="Y74" s="416"/>
      <c r="Z74" s="416"/>
      <c r="AA74" s="416"/>
      <c r="AB74" s="416"/>
      <c r="AC74" s="416"/>
      <c r="AD74" s="416"/>
      <c r="AE74" s="416"/>
    </row>
    <row r="75" spans="1:31" s="412" customFormat="1" ht="10.5" hidden="1" x14ac:dyDescent="0.25">
      <c r="A75" s="419"/>
      <c r="C75" s="419"/>
      <c r="D75" s="419"/>
      <c r="E75" s="419"/>
      <c r="F75" s="419"/>
      <c r="G75" s="419"/>
      <c r="H75" s="419"/>
      <c r="K75" s="419"/>
      <c r="L75" s="419"/>
      <c r="M75" s="419"/>
      <c r="N75" s="419"/>
      <c r="O75" s="419"/>
      <c r="P75" s="419"/>
      <c r="X75" s="416"/>
      <c r="Y75" s="416"/>
      <c r="Z75" s="416"/>
      <c r="AA75" s="416"/>
      <c r="AB75" s="416"/>
      <c r="AC75" s="416"/>
      <c r="AD75" s="416"/>
      <c r="AE75" s="416"/>
    </row>
    <row r="76" spans="1:31" s="412" customFormat="1" ht="10.5" hidden="1" x14ac:dyDescent="0.25">
      <c r="A76" s="419" t="s">
        <v>159</v>
      </c>
      <c r="C76" s="419">
        <f>IF(C$71&gt;C$74,C$71-C$74,0)</f>
        <v>0</v>
      </c>
      <c r="D76" s="419">
        <f t="shared" ref="D76:H76" si="69">IF(D$71&gt;D$74,D$71-D$74,0)</f>
        <v>0</v>
      </c>
      <c r="E76" s="419">
        <f t="shared" si="69"/>
        <v>0</v>
      </c>
      <c r="F76" s="419">
        <f t="shared" si="69"/>
        <v>0</v>
      </c>
      <c r="G76" s="419">
        <f t="shared" si="69"/>
        <v>0</v>
      </c>
      <c r="H76" s="419">
        <f t="shared" si="69"/>
        <v>0</v>
      </c>
      <c r="K76" s="419">
        <f>IF(K$71&gt;K$74,K$71-K$74,0)</f>
        <v>0</v>
      </c>
      <c r="L76" s="419">
        <f t="shared" ref="L76:P76" si="70">IF(L$71&gt;L$74,L$71-L$74,0)</f>
        <v>0</v>
      </c>
      <c r="M76" s="419">
        <f t="shared" si="70"/>
        <v>0</v>
      </c>
      <c r="N76" s="419">
        <f t="shared" si="70"/>
        <v>0</v>
      </c>
      <c r="O76" s="419">
        <f t="shared" si="70"/>
        <v>0</v>
      </c>
      <c r="P76" s="419">
        <f t="shared" si="70"/>
        <v>0</v>
      </c>
      <c r="X76" s="416"/>
      <c r="Y76" s="416"/>
      <c r="Z76" s="416"/>
      <c r="AA76" s="416"/>
      <c r="AB76" s="416"/>
      <c r="AC76" s="416"/>
      <c r="AD76" s="416"/>
      <c r="AE76" s="416"/>
    </row>
    <row r="77" spans="1:31" s="412" customFormat="1" ht="10.5" hidden="1" x14ac:dyDescent="0.25">
      <c r="A77" s="419" t="s">
        <v>160</v>
      </c>
      <c r="C77" s="419">
        <f>C$79</f>
        <v>0</v>
      </c>
      <c r="D77" s="419">
        <f>C$77+D$79</f>
        <v>0</v>
      </c>
      <c r="E77" s="419">
        <f t="shared" ref="E77:H77" si="71">D$77+E$79</f>
        <v>0</v>
      </c>
      <c r="F77" s="419">
        <f t="shared" si="71"/>
        <v>0</v>
      </c>
      <c r="G77" s="419">
        <f t="shared" si="71"/>
        <v>0</v>
      </c>
      <c r="H77" s="419">
        <f t="shared" si="71"/>
        <v>0</v>
      </c>
      <c r="K77" s="419">
        <f>H$77+K$79</f>
        <v>0</v>
      </c>
      <c r="L77" s="419">
        <f>K$77+L$79</f>
        <v>0</v>
      </c>
      <c r="M77" s="419">
        <f t="shared" ref="M77:P77" si="72">L$77+M$79</f>
        <v>0</v>
      </c>
      <c r="N77" s="419">
        <f t="shared" si="72"/>
        <v>0</v>
      </c>
      <c r="O77" s="419">
        <f t="shared" si="72"/>
        <v>0</v>
      </c>
      <c r="P77" s="419">
        <f t="shared" si="72"/>
        <v>0</v>
      </c>
      <c r="X77" s="416"/>
      <c r="Y77" s="416"/>
      <c r="Z77" s="416"/>
      <c r="AA77" s="416"/>
      <c r="AB77" s="416"/>
      <c r="AC77" s="416"/>
      <c r="AD77" s="416"/>
      <c r="AE77" s="416"/>
    </row>
    <row r="78" spans="1:31" s="412" customFormat="1" ht="10.5" hidden="1" x14ac:dyDescent="0.25">
      <c r="A78" s="419"/>
      <c r="C78" s="419"/>
      <c r="D78" s="419"/>
      <c r="E78" s="419"/>
      <c r="F78" s="419"/>
      <c r="G78" s="419"/>
      <c r="H78" s="419"/>
      <c r="K78" s="419"/>
      <c r="L78" s="419"/>
      <c r="M78" s="419"/>
      <c r="N78" s="419"/>
      <c r="O78" s="419"/>
      <c r="P78" s="419"/>
      <c r="X78" s="416"/>
      <c r="Y78" s="416"/>
      <c r="Z78" s="416"/>
      <c r="AA78" s="416"/>
      <c r="AB78" s="416"/>
      <c r="AC78" s="416"/>
      <c r="AD78" s="416"/>
      <c r="AE78" s="416"/>
    </row>
    <row r="79" spans="1:31" s="412" customFormat="1" ht="10.5" hidden="1" x14ac:dyDescent="0.25">
      <c r="A79" s="420" t="s">
        <v>161</v>
      </c>
      <c r="C79" s="419">
        <f>IF(C$70=0,0,C$76)</f>
        <v>0</v>
      </c>
      <c r="D79" s="420">
        <f>IF(D$70=0,0,D$76-C$77)</f>
        <v>0</v>
      </c>
      <c r="E79" s="420">
        <f t="shared" ref="E79:H79" si="73">IF(E$70=0,0,E$76-D$77)</f>
        <v>0</v>
      </c>
      <c r="F79" s="420">
        <f t="shared" si="73"/>
        <v>0</v>
      </c>
      <c r="G79" s="420">
        <f t="shared" si="73"/>
        <v>0</v>
      </c>
      <c r="H79" s="420">
        <f t="shared" si="73"/>
        <v>0</v>
      </c>
      <c r="K79" s="420">
        <f>IF(K$70=0,0,K$76-H$77)</f>
        <v>0</v>
      </c>
      <c r="L79" s="420">
        <f t="shared" ref="L79:P79" si="74">IF(L$70=0,0,L$76-K$77)</f>
        <v>0</v>
      </c>
      <c r="M79" s="420">
        <f t="shared" si="74"/>
        <v>0</v>
      </c>
      <c r="N79" s="420">
        <f t="shared" si="74"/>
        <v>0</v>
      </c>
      <c r="O79" s="420">
        <f t="shared" si="74"/>
        <v>0</v>
      </c>
      <c r="P79" s="420">
        <f t="shared" si="74"/>
        <v>0</v>
      </c>
      <c r="X79" s="416"/>
      <c r="Y79" s="416"/>
      <c r="Z79" s="416"/>
      <c r="AA79" s="416"/>
      <c r="AB79" s="416"/>
      <c r="AC79" s="416"/>
      <c r="AD79" s="416"/>
      <c r="AE79" s="416"/>
    </row>
    <row r="80" spans="1:31" s="412" customFormat="1" ht="10.5" hidden="1" x14ac:dyDescent="0.25">
      <c r="A80" s="421" t="s">
        <v>6</v>
      </c>
      <c r="C80" s="421">
        <f>ROUND((IF(C$73=0,0,C$79-C$70)*-1)/5,2)*5</f>
        <v>0</v>
      </c>
      <c r="D80" s="421">
        <f>ROUND((IF(D$73=0,0,D$79-D$70)*-1)/5,2)*5</f>
        <v>0</v>
      </c>
      <c r="E80" s="421">
        <f t="shared" ref="E80:H80" si="75">ROUND((IF(E$73=0,0,E$79-E$70)*-1)/5,2)*5</f>
        <v>0</v>
      </c>
      <c r="F80" s="421">
        <f t="shared" si="75"/>
        <v>0</v>
      </c>
      <c r="G80" s="421">
        <f t="shared" si="75"/>
        <v>0</v>
      </c>
      <c r="H80" s="421">
        <f t="shared" si="75"/>
        <v>0</v>
      </c>
      <c r="K80" s="421">
        <f t="shared" ref="K80:P80" si="76">ROUND((IF(K$73=0,0,K$79-K$70)*-1)/5,2)*5</f>
        <v>0</v>
      </c>
      <c r="L80" s="421">
        <f t="shared" si="76"/>
        <v>0</v>
      </c>
      <c r="M80" s="421">
        <f t="shared" si="76"/>
        <v>0</v>
      </c>
      <c r="N80" s="421">
        <f t="shared" si="76"/>
        <v>0</v>
      </c>
      <c r="O80" s="421">
        <f t="shared" si="76"/>
        <v>0</v>
      </c>
      <c r="P80" s="421">
        <f t="shared" si="76"/>
        <v>0</v>
      </c>
      <c r="X80" s="416"/>
      <c r="Y80" s="416"/>
      <c r="Z80" s="416"/>
      <c r="AA80" s="416"/>
      <c r="AB80" s="416"/>
      <c r="AC80" s="416"/>
      <c r="AD80" s="416"/>
      <c r="AE80" s="416"/>
    </row>
    <row r="81" spans="1:31" s="412" customFormat="1" ht="10.5" hidden="1" x14ac:dyDescent="0.25">
      <c r="A81" s="420" t="s">
        <v>162</v>
      </c>
      <c r="C81" s="419">
        <f t="shared" ref="C81:H81" si="77">IF(C$67="oui",0,C$39)</f>
        <v>0</v>
      </c>
      <c r="D81" s="419">
        <f t="shared" si="77"/>
        <v>0</v>
      </c>
      <c r="E81" s="419">
        <f t="shared" si="77"/>
        <v>0</v>
      </c>
      <c r="F81" s="419">
        <f t="shared" si="77"/>
        <v>0</v>
      </c>
      <c r="G81" s="419">
        <f t="shared" si="77"/>
        <v>0</v>
      </c>
      <c r="H81" s="419">
        <f t="shared" si="77"/>
        <v>0</v>
      </c>
      <c r="K81" s="419">
        <f t="shared" ref="K81:P81" si="78">IF(K$67="oui",0,K$39)</f>
        <v>0</v>
      </c>
      <c r="L81" s="419">
        <f t="shared" si="78"/>
        <v>0</v>
      </c>
      <c r="M81" s="419">
        <f t="shared" si="78"/>
        <v>0</v>
      </c>
      <c r="N81" s="419">
        <f t="shared" si="78"/>
        <v>0</v>
      </c>
      <c r="O81" s="419">
        <f t="shared" si="78"/>
        <v>0</v>
      </c>
      <c r="P81" s="419">
        <f t="shared" si="78"/>
        <v>0</v>
      </c>
      <c r="Q81" s="430">
        <f>SUM(C81:P81)</f>
        <v>0</v>
      </c>
      <c r="X81" s="416"/>
      <c r="Y81" s="416"/>
      <c r="Z81" s="416"/>
      <c r="AA81" s="416"/>
      <c r="AB81" s="416"/>
      <c r="AC81" s="416"/>
      <c r="AD81" s="416"/>
      <c r="AE81" s="416"/>
    </row>
    <row r="82" spans="1:31" s="412" customFormat="1" ht="10" x14ac:dyDescent="0.2">
      <c r="X82" s="416"/>
      <c r="Y82" s="416"/>
      <c r="Z82" s="416"/>
      <c r="AA82" s="416"/>
      <c r="AB82" s="416"/>
      <c r="AC82" s="416"/>
      <c r="AD82" s="416"/>
      <c r="AE82" s="416"/>
    </row>
    <row r="83" spans="1:31" s="412" customFormat="1" ht="10" x14ac:dyDescent="0.2">
      <c r="X83" s="416"/>
      <c r="Y83" s="416"/>
      <c r="Z83" s="416"/>
      <c r="AA83" s="416"/>
      <c r="AB83" s="416"/>
      <c r="AC83" s="416"/>
      <c r="AD83" s="416"/>
      <c r="AE83" s="416"/>
    </row>
  </sheetData>
  <sheetProtection algorithmName="SHA-512" hashValue="Y1p7Qvawz+OYRWkuN8O36u568RLkl1GhTByjzyh2bQfq4bN0XSFu6B5+0hmEUoaK0OQlL1x29ozp5SYT+Gk+AQ==" saltValue="jH2mEyd90AfWwvowrlyj5w==" spinCount="100000" sheet="1" objects="1" scenarios="1"/>
  <mergeCells count="48">
    <mergeCell ref="O52:O53"/>
    <mergeCell ref="P52:P53"/>
    <mergeCell ref="S24:U26"/>
    <mergeCell ref="S28:U30"/>
    <mergeCell ref="S31:U32"/>
    <mergeCell ref="S33:U35"/>
    <mergeCell ref="S36:U40"/>
    <mergeCell ref="S41:U43"/>
    <mergeCell ref="AB4:AB5"/>
    <mergeCell ref="AC4:AC5"/>
    <mergeCell ref="AD4:AD5"/>
    <mergeCell ref="AH4:AI5"/>
    <mergeCell ref="C6:D6"/>
    <mergeCell ref="F6:G6"/>
    <mergeCell ref="P1:Q3"/>
    <mergeCell ref="A2:C2"/>
    <mergeCell ref="I2:K2"/>
    <mergeCell ref="Y2:Y5"/>
    <mergeCell ref="AA2:AA5"/>
    <mergeCell ref="S4:T4"/>
    <mergeCell ref="X4:X5"/>
    <mergeCell ref="Z4:Z5"/>
    <mergeCell ref="A1:C1"/>
    <mergeCell ref="D1:F2"/>
    <mergeCell ref="G1:H3"/>
    <mergeCell ref="I1:K1"/>
    <mergeCell ref="L1:N2"/>
    <mergeCell ref="C52:C53"/>
    <mergeCell ref="D52:D53"/>
    <mergeCell ref="E52:E53"/>
    <mergeCell ref="F52:F53"/>
    <mergeCell ref="G52:G53"/>
    <mergeCell ref="H52:H53"/>
    <mergeCell ref="K52:K53"/>
    <mergeCell ref="L52:L53"/>
    <mergeCell ref="M52:M53"/>
    <mergeCell ref="N52:N53"/>
    <mergeCell ref="S18:U18"/>
    <mergeCell ref="S20:U22"/>
    <mergeCell ref="C7:D7"/>
    <mergeCell ref="F7:G7"/>
    <mergeCell ref="F14:G14"/>
    <mergeCell ref="F15:G15"/>
    <mergeCell ref="F16:G16"/>
    <mergeCell ref="C8:D8"/>
    <mergeCell ref="F8:G8"/>
    <mergeCell ref="C9:D9"/>
    <mergeCell ref="F9:G9"/>
  </mergeCells>
  <conditionalFormatting sqref="A25">
    <cfRule type="beginsWith" dxfId="140" priority="34" operator="beginsWith" text="Nom">
      <formula>LEFT(A25,LEN("Nom"))="Nom"</formula>
    </cfRule>
  </conditionalFormatting>
  <conditionalFormatting sqref="A26">
    <cfRule type="containsText" dxfId="139" priority="8" operator="containsText" text="Nombre d'heures">
      <formula>NOT(ISERROR(SEARCH("Nombre d'heures",A26)))</formula>
    </cfRule>
  </conditionalFormatting>
  <conditionalFormatting sqref="A28">
    <cfRule type="containsText" dxfId="138" priority="36" operator="containsText" text="Nombre d'heures II">
      <formula>NOT(ISERROR(SEARCH("Nombre d'heures II",A28)))</formula>
    </cfRule>
  </conditionalFormatting>
  <conditionalFormatting sqref="A24:B24">
    <cfRule type="expression" dxfId="137" priority="33">
      <formula>$G$11="oui"</formula>
    </cfRule>
  </conditionalFormatting>
  <conditionalFormatting sqref="A25:B25">
    <cfRule type="expression" dxfId="136" priority="31">
      <formula>$P$10&gt;0.1</formula>
    </cfRule>
  </conditionalFormatting>
  <conditionalFormatting sqref="A50:B50">
    <cfRule type="expression" dxfId="135" priority="32">
      <formula>$G$11="ja"</formula>
    </cfRule>
  </conditionalFormatting>
  <conditionalFormatting sqref="A60:B64">
    <cfRule type="expression" dxfId="134" priority="27">
      <formula>$G$12="non"</formula>
    </cfRule>
  </conditionalFormatting>
  <conditionalFormatting sqref="B25">
    <cfRule type="beginsWith" dxfId="133" priority="28" operator="beginsWith" text="Nb">
      <formula>LEFT(B25,LEN("Nb"))="Nb"</formula>
    </cfRule>
  </conditionalFormatting>
  <conditionalFormatting sqref="B26">
    <cfRule type="containsText" dxfId="132" priority="7" operator="containsText" text="h">
      <formula>NOT(ISERROR(SEARCH("h",B26)))</formula>
    </cfRule>
  </conditionalFormatting>
  <conditionalFormatting sqref="B28">
    <cfRule type="containsText" dxfId="131" priority="29" operator="containsText" text="h">
      <formula>NOT(ISERROR(SEARCH("h",B28)))</formula>
    </cfRule>
  </conditionalFormatting>
  <conditionalFormatting sqref="C17">
    <cfRule type="expression" dxfId="130" priority="83">
      <formula>$A$17="13ème salaire"</formula>
    </cfRule>
  </conditionalFormatting>
  <conditionalFormatting sqref="C22:H22">
    <cfRule type="cellIs" dxfId="129" priority="20" operator="greaterThan">
      <formula>1</formula>
    </cfRule>
  </conditionalFormatting>
  <conditionalFormatting sqref="C23:H23 K23:P23">
    <cfRule type="expression" dxfId="128" priority="48">
      <formula>$B$23="CHF"</formula>
    </cfRule>
  </conditionalFormatting>
  <conditionalFormatting sqref="C24:H24 K24:P24">
    <cfRule type="expression" dxfId="127" priority="73">
      <formula>$G$11="ja"</formula>
    </cfRule>
  </conditionalFormatting>
  <conditionalFormatting sqref="C25:H25 K25:P25">
    <cfRule type="expression" dxfId="126" priority="59">
      <formula>$B$25="Anz."</formula>
    </cfRule>
  </conditionalFormatting>
  <conditionalFormatting sqref="C26:H26">
    <cfRule type="expression" dxfId="125" priority="10">
      <formula>$G$12="oui"</formula>
    </cfRule>
    <cfRule type="expression" dxfId="124" priority="11">
      <formula>$C$16="Salaire horaire"</formula>
    </cfRule>
  </conditionalFormatting>
  <conditionalFormatting sqref="C28:H28 K28:P28">
    <cfRule type="expression" dxfId="123" priority="74">
      <formula>$G$10="Ja"</formula>
    </cfRule>
  </conditionalFormatting>
  <conditionalFormatting sqref="C50:H50">
    <cfRule type="expression" dxfId="122" priority="66">
      <formula>C51&lt;-0.01</formula>
    </cfRule>
    <cfRule type="expression" dxfId="121" priority="65">
      <formula>C51&gt;0.01</formula>
    </cfRule>
  </conditionalFormatting>
  <conditionalFormatting sqref="C51:H51">
    <cfRule type="cellIs" dxfId="120" priority="70" operator="greaterThan">
      <formula>0.04</formula>
    </cfRule>
    <cfRule type="cellIs" dxfId="119" priority="69" operator="lessThan">
      <formula>-0.04</formula>
    </cfRule>
  </conditionalFormatting>
  <conditionalFormatting sqref="C60:Q63 C64:P64">
    <cfRule type="expression" dxfId="118" priority="62">
      <formula>$G$12="nein"</formula>
    </cfRule>
  </conditionalFormatting>
  <conditionalFormatting sqref="G1">
    <cfRule type="containsText" dxfId="117" priority="117" operator="containsText" text="Achtung Fehler">
      <formula>NOT(ISERROR(SEARCH("Achtung Fehler",G1)))</formula>
    </cfRule>
  </conditionalFormatting>
  <conditionalFormatting sqref="G10">
    <cfRule type="expression" dxfId="116" priority="52">
      <formula>$C$16="Salaire horaire"</formula>
    </cfRule>
  </conditionalFormatting>
  <conditionalFormatting sqref="H17:H18">
    <cfRule type="beginsWith" dxfId="115" priority="44" operator="beginsWith" text="ATT">
      <formula>LEFT(H17,LEN("ATT"))="ATT"</formula>
    </cfRule>
  </conditionalFormatting>
  <conditionalFormatting sqref="I25">
    <cfRule type="beginsWith" dxfId="114" priority="50" operator="beginsWith" text="Nom">
      <formula>LEFT(I25,LEN("Nom"))="Nom"</formula>
    </cfRule>
  </conditionalFormatting>
  <conditionalFormatting sqref="I26">
    <cfRule type="containsText" dxfId="113" priority="13" operator="containsText" text="Nombre d'heures">
      <formula>NOT(ISERROR(SEARCH("Nombre d'heures",I26)))</formula>
    </cfRule>
  </conditionalFormatting>
  <conditionalFormatting sqref="I28">
    <cfRule type="containsText" dxfId="112" priority="58" operator="containsText" text="Nombre d'heures II">
      <formula>NOT(ISERROR(SEARCH("Nombre d'heures II",I28)))</formula>
    </cfRule>
  </conditionalFormatting>
  <conditionalFormatting sqref="I24:J24">
    <cfRule type="expression" dxfId="111" priority="61">
      <formula>$G$11="oui"</formula>
    </cfRule>
  </conditionalFormatting>
  <conditionalFormatting sqref="I25:J25">
    <cfRule type="expression" dxfId="110" priority="51">
      <formula>$P$10&gt;0.1</formula>
    </cfRule>
  </conditionalFormatting>
  <conditionalFormatting sqref="I50:J50">
    <cfRule type="expression" dxfId="109" priority="60">
      <formula>$G$11="ja"</formula>
    </cfRule>
  </conditionalFormatting>
  <conditionalFormatting sqref="J25">
    <cfRule type="beginsWith" dxfId="108" priority="49" operator="beginsWith" text="Anz">
      <formula>LEFT(J25,LEN("Anz"))="Anz"</formula>
    </cfRule>
  </conditionalFormatting>
  <conditionalFormatting sqref="J26">
    <cfRule type="containsText" dxfId="107" priority="12" operator="containsText" text="h">
      <formula>NOT(ISERROR(SEARCH("h",J26)))</formula>
    </cfRule>
  </conditionalFormatting>
  <conditionalFormatting sqref="J28">
    <cfRule type="containsText" dxfId="106" priority="53" operator="containsText" text="Std.">
      <formula>NOT(ISERROR(SEARCH("Std.",J28)))</formula>
    </cfRule>
    <cfRule type="containsText" dxfId="105" priority="54" operator="containsText" text="Std.">
      <formula>NOT(ISERROR(SEARCH("Std.",J28)))</formula>
    </cfRule>
    <cfRule type="containsText" dxfId="104" priority="55" operator="containsText" text="Std.">
      <formula>NOT(ISERROR(SEARCH("Std.",J28)))</formula>
    </cfRule>
  </conditionalFormatting>
  <conditionalFormatting sqref="K22:P22">
    <cfRule type="cellIs" dxfId="103" priority="21" operator="greaterThan">
      <formula>1</formula>
    </cfRule>
  </conditionalFormatting>
  <conditionalFormatting sqref="K26:P26">
    <cfRule type="expression" dxfId="102" priority="14">
      <formula>$G$12="oui"</formula>
    </cfRule>
    <cfRule type="expression" dxfId="101" priority="15">
      <formula>$C$16="Salaire horaire"</formula>
    </cfRule>
  </conditionalFormatting>
  <conditionalFormatting sqref="K50:P50">
    <cfRule type="expression" dxfId="100" priority="63">
      <formula>K51&gt;0.01</formula>
    </cfRule>
    <cfRule type="expression" dxfId="99" priority="64">
      <formula>K51&lt;-0.01</formula>
    </cfRule>
  </conditionalFormatting>
  <conditionalFormatting sqref="K51:P51">
    <cfRule type="cellIs" dxfId="98" priority="67" operator="lessThan">
      <formula>-0.04</formula>
    </cfRule>
    <cfRule type="cellIs" dxfId="97" priority="68" operator="greaterThan">
      <formula>0.04</formula>
    </cfRule>
  </conditionalFormatting>
  <conditionalFormatting sqref="L7">
    <cfRule type="expression" dxfId="96" priority="39">
      <formula>$C$16="à choisir"</formula>
    </cfRule>
  </conditionalFormatting>
  <conditionalFormatting sqref="L12">
    <cfRule type="expression" dxfId="95" priority="42">
      <formula>$G$10="oui"</formula>
    </cfRule>
  </conditionalFormatting>
  <conditionalFormatting sqref="M8">
    <cfRule type="expression" dxfId="94" priority="38">
      <formula>$C$16="Salaire horaire"</formula>
    </cfRule>
    <cfRule type="expression" dxfId="93" priority="37">
      <formula>$C$16="salaire mensuel"</formula>
    </cfRule>
  </conditionalFormatting>
  <conditionalFormatting sqref="M13">
    <cfRule type="expression" dxfId="92" priority="40">
      <formula>$G$10="oui"</formula>
    </cfRule>
  </conditionalFormatting>
  <conditionalFormatting sqref="P1">
    <cfRule type="containsText" dxfId="91" priority="116" operator="containsText" text="Achtung Fehler">
      <formula>NOT(ISERROR(SEARCH("Achtung Fehler",P1)))</formula>
    </cfRule>
  </conditionalFormatting>
  <conditionalFormatting sqref="P7">
    <cfRule type="expression" dxfId="90" priority="41">
      <formula>$Q$7="du Sal.horaire"</formula>
    </cfRule>
  </conditionalFormatting>
  <conditionalFormatting sqref="P10">
    <cfRule type="expression" dxfId="89" priority="43">
      <formula>$Q$10="heures"</formula>
    </cfRule>
  </conditionalFormatting>
  <conditionalFormatting sqref="Q64">
    <cfRule type="expression" dxfId="88" priority="26">
      <formula>$G$12="non"</formula>
    </cfRule>
  </conditionalFormatting>
  <conditionalFormatting sqref="S20">
    <cfRule type="beginsWith" dxfId="87" priority="5" operator="beginsWith" text="Vereinfachtes">
      <formula>LEFT(S20,LEN("Vereinfachtes"))="Vereinfachtes"</formula>
    </cfRule>
    <cfRule type="beginsWith" dxfId="86" priority="4" operator="beginsWith" text="Hinweis">
      <formula>LEFT(S20,LEN("Hinweis"))="Hinweis"</formula>
    </cfRule>
    <cfRule type="beginsWith" dxfId="85" priority="3" operator="beginsWith" text="ACHTUNG">
      <formula>LEFT(S20,LEN("ACHTUNG"))="ACHTUNG"</formula>
    </cfRule>
  </conditionalFormatting>
  <conditionalFormatting sqref="S24">
    <cfRule type="beginsWith" dxfId="84" priority="2" operator="beginsWith" text="ACHTUNG">
      <formula>LEFT(S24,LEN("ACHTUNG"))="ACHTUNG"</formula>
    </cfRule>
  </conditionalFormatting>
  <conditionalFormatting sqref="S28">
    <cfRule type="beginsWith" dxfId="83" priority="1" operator="beginsWith" text="ACHTUNG">
      <formula>LEFT(S28,LEN("ACHTUNG"))="ACHTUNG"</formula>
    </cfRule>
  </conditionalFormatting>
  <conditionalFormatting sqref="S36:S37">
    <cfRule type="beginsWith" dxfId="82" priority="6" operator="beginsWith" text="ACHTUNG">
      <formula>LEFT(S36,LEN("ACHTUNG"))="ACHTUNG"</formula>
    </cfRule>
  </conditionalFormatting>
  <conditionalFormatting sqref="W1:AJ10 W11:X12 Z11:AJ12">
    <cfRule type="expression" dxfId="81" priority="45">
      <formula>W1&lt;&gt;""</formula>
    </cfRule>
  </conditionalFormatting>
  <conditionalFormatting sqref="W13:AJ1048576">
    <cfRule type="expression" dxfId="80" priority="9">
      <formula>W13&lt;&gt;""</formula>
    </cfRule>
  </conditionalFormatting>
  <dataValidations count="7">
    <dataValidation type="list" allowBlank="1" showInputMessage="1" showErrorMessage="1" sqref="F9:G9" xr:uid="{CF569209-EB4C-4440-AC9F-2FC6E7DA8FF5}">
      <formula1>$AB$6:$AB$19</formula1>
    </dataValidation>
    <dataValidation type="list" allowBlank="1" showInputMessage="1" showErrorMessage="1" sqref="G10" xr:uid="{4BC4C162-52F0-4389-87E9-12F55A70E466}">
      <formula1>$AC$13:$AC$14</formula1>
    </dataValidation>
    <dataValidation type="list" allowBlank="1" showInputMessage="1" showErrorMessage="1" sqref="C17" xr:uid="{7FFC207A-F422-4277-BECA-6F38847DA900}">
      <formula1>$Y$11:$Y$12</formula1>
    </dataValidation>
    <dataValidation type="list" allowBlank="1" showInputMessage="1" showErrorMessage="1" sqref="C10" xr:uid="{A2F9624C-E6DD-4D65-8451-3766C5778167}">
      <formula1>$X$6:$X$8</formula1>
    </dataValidation>
    <dataValidation type="list" allowBlank="1" showInputMessage="1" showErrorMessage="1" sqref="C16" xr:uid="{8BBCDCE3-D650-425B-AF8B-2E22E3367540}">
      <formula1>$X$11:$X$13</formula1>
    </dataValidation>
    <dataValidation type="list" allowBlank="1" showInputMessage="1" showErrorMessage="1" sqref="G11:G12" xr:uid="{22F61133-FB7F-428C-BBDE-62FBA030307B}">
      <formula1>$AH$6:$AH$8</formula1>
    </dataValidation>
    <dataValidation type="list" allowBlank="1" showInputMessage="1" showErrorMessage="1" sqref="G13" xr:uid="{F416D9FF-7245-47D6-B214-884516D4964C}">
      <formula1>$Y$6:$Y$8</formula1>
    </dataValidation>
  </dataValidations>
  <hyperlinks>
    <hyperlink ref="P1:Q3" location="Fehler1" display="Fehler1" xr:uid="{9A97E87F-C679-4D65-946C-44D88290FC86}"/>
    <hyperlink ref="G1:H3" location="Fehler1" display="Fehler1" xr:uid="{E4C98166-0268-4242-9CBD-01D34D752431}"/>
  </hyperlinks>
  <pageMargins left="0.23622047244094491" right="0.23622047244094491" top="0.74803149606299213" bottom="0.74803149606299213" header="0.31496062992125984" footer="0.31496062992125984"/>
  <pageSetup paperSize="9" scale="81" fitToWidth="2" pageOrder="overThenDown" orientation="portrait" r:id="rId1"/>
  <headerFooter>
    <oddHeader>&amp;R&amp;"Arial,Standard"&amp;9Koordinationsstelle &amp;"MS Sans Serif,Standard"&amp;10
&amp;"Arial,Fett"&amp;9Berner Modell&amp;"Arial,Standard" - freie Lebensgestaltung von Menschen mit Behinderungen
HelpLine 031 300 33 70 / info@bernermodell.ch</oddHeader>
    <oddFooter>&amp;L&amp;"Arial,Standard"&amp;9Seite &amp;P von &amp;N&amp;R&amp;"Arial,Standard"&amp;9Lohnprogramm V10.0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BD"/>
    <pageSetUpPr fitToPage="1"/>
  </sheetPr>
  <dimension ref="A1:AK83"/>
  <sheetViews>
    <sheetView showGridLines="0" showZeros="0" zoomScaleNormal="100" workbookViewId="0">
      <selection activeCell="C6" sqref="C6:D6"/>
    </sheetView>
  </sheetViews>
  <sheetFormatPr baseColWidth="10" defaultColWidth="11.453125" defaultRowHeight="12.5" x14ac:dyDescent="0.25"/>
  <cols>
    <col min="1" max="1" width="20.81640625" style="1" customWidth="1"/>
    <col min="2" max="2" width="4.54296875" style="1" bestFit="1" customWidth="1"/>
    <col min="3" max="4" width="13.7265625" style="1" customWidth="1"/>
    <col min="5" max="5" width="14.54296875" style="1" customWidth="1"/>
    <col min="6" max="8" width="13.7265625" style="1" customWidth="1"/>
    <col min="9" max="9" width="21.1796875" style="1" customWidth="1"/>
    <col min="10" max="10" width="4.54296875" style="1" bestFit="1" customWidth="1"/>
    <col min="11" max="16" width="12.26953125" style="1" customWidth="1"/>
    <col min="17" max="17" width="14.26953125" style="1" bestFit="1" customWidth="1"/>
    <col min="18" max="18" width="5" style="1" customWidth="1"/>
    <col min="19" max="19" width="29" style="1" customWidth="1"/>
    <col min="20" max="20" width="21" style="1" customWidth="1"/>
    <col min="21" max="21" width="15.7265625" style="1" customWidth="1"/>
    <col min="22" max="22" width="9.7265625" style="1" customWidth="1"/>
    <col min="23" max="23" width="12.81640625" style="1" hidden="1" customWidth="1"/>
    <col min="24" max="24" width="12.81640625" style="68" hidden="1" customWidth="1"/>
    <col min="25" max="25" width="21.453125" style="68" hidden="1" customWidth="1"/>
    <col min="26" max="26" width="22.1796875" style="68" hidden="1" customWidth="1"/>
    <col min="27" max="27" width="28.7265625" style="68" hidden="1" customWidth="1"/>
    <col min="28" max="28" width="17.26953125" style="68" hidden="1" customWidth="1"/>
    <col min="29" max="29" width="14.1796875" style="68" hidden="1" customWidth="1"/>
    <col min="30" max="30" width="11.81640625" style="68" hidden="1" customWidth="1"/>
    <col min="31" max="31" width="15.26953125" style="68" hidden="1" customWidth="1"/>
    <col min="32" max="32" width="15.54296875" style="1" hidden="1" customWidth="1"/>
    <col min="33" max="33" width="15.26953125" style="1" hidden="1" customWidth="1"/>
    <col min="34" max="34" width="7.453125" style="1" hidden="1" customWidth="1"/>
    <col min="35" max="35" width="15.26953125" style="1" hidden="1" customWidth="1"/>
    <col min="36" max="37" width="15.26953125" style="1" customWidth="1"/>
    <col min="38" max="16384" width="11.453125" style="1"/>
  </cols>
  <sheetData>
    <row r="1" spans="1:35" ht="12.75" customHeight="1" x14ac:dyDescent="0.25">
      <c r="A1" s="474" t="str">
        <f>'PA 1'!A1:C1</f>
        <v>Nom/Prénom employeur</v>
      </c>
      <c r="B1" s="474"/>
      <c r="C1" s="474"/>
      <c r="D1" s="473" t="str">
        <f>"Programme de salaire "&amp;Grundlagen!$D$1</f>
        <v>Programme de salaire 2026</v>
      </c>
      <c r="E1" s="473"/>
      <c r="F1" s="473"/>
      <c r="G1" s="460" t="str">
        <f>IF($W45&gt;4,"Attention erreur!",IF($W$45&gt;0,"Attention remarque!",""))</f>
        <v/>
      </c>
      <c r="H1" s="460"/>
      <c r="I1" s="475" t="str">
        <f>A1</f>
        <v>Nom/Prénom employeur</v>
      </c>
      <c r="J1" s="475"/>
      <c r="K1" s="475"/>
      <c r="L1" s="473" t="str">
        <f>D1</f>
        <v>Programme de salaire 2026</v>
      </c>
      <c r="M1" s="473"/>
      <c r="N1" s="473"/>
      <c r="P1" s="460" t="str">
        <f>IF($W45&gt;4,"Attention erreur!",IF($W$45&gt;0,"Attention remarque!",""))</f>
        <v/>
      </c>
      <c r="Q1" s="460"/>
      <c r="S1" s="250" t="s">
        <v>55</v>
      </c>
      <c r="T1" s="264"/>
      <c r="U1" s="441" t="s">
        <v>56</v>
      </c>
      <c r="V1" s="442" t="s">
        <v>57</v>
      </c>
      <c r="W1" s="425"/>
      <c r="AE1" s="1"/>
    </row>
    <row r="2" spans="1:35" ht="12.75" customHeight="1" x14ac:dyDescent="0.25">
      <c r="A2" s="474" t="str">
        <f>'PA 1'!A2:C2</f>
        <v>Lieu employeur</v>
      </c>
      <c r="B2" s="474"/>
      <c r="C2" s="474"/>
      <c r="D2" s="473"/>
      <c r="E2" s="473"/>
      <c r="F2" s="473"/>
      <c r="G2" s="460"/>
      <c r="H2" s="460"/>
      <c r="I2" s="475" t="str">
        <f>A2</f>
        <v>Lieu employeur</v>
      </c>
      <c r="J2" s="475"/>
      <c r="K2" s="475"/>
      <c r="L2" s="473"/>
      <c r="M2" s="473"/>
      <c r="N2" s="473"/>
      <c r="P2" s="460"/>
      <c r="Q2" s="460"/>
      <c r="S2" s="253" t="s">
        <v>59</v>
      </c>
      <c r="T2" s="2"/>
      <c r="U2" s="225">
        <f>IF(C16="Salaire horaire",(M8*M7*52)+(M13*M12*52),(M8+Y13)*12)</f>
        <v>0</v>
      </c>
      <c r="V2" s="265"/>
      <c r="W2" s="425"/>
      <c r="Y2" s="478" t="s">
        <v>60</v>
      </c>
      <c r="AA2" s="478" t="str">
        <f>"Jahreslohn gesamt &gt; CHF "&amp;Grundlagen!$B$9</f>
        <v>Jahreslohn gesamt &gt; CHF 58800</v>
      </c>
      <c r="AE2" s="1"/>
    </row>
    <row r="3" spans="1:35" ht="5.15" customHeight="1" x14ac:dyDescent="0.25">
      <c r="G3" s="460"/>
      <c r="H3" s="460"/>
      <c r="P3" s="460"/>
      <c r="Q3" s="460"/>
      <c r="S3" s="258"/>
      <c r="V3" s="254"/>
      <c r="W3" s="425"/>
      <c r="Y3" s="478"/>
      <c r="AA3" s="478"/>
      <c r="AE3" s="1"/>
    </row>
    <row r="4" spans="1:35" ht="15" customHeight="1" thickBot="1" x14ac:dyDescent="0.35">
      <c r="A4" s="41" t="s">
        <v>61</v>
      </c>
      <c r="B4" s="41"/>
      <c r="C4" s="41"/>
      <c r="D4" s="41"/>
      <c r="E4" s="42"/>
      <c r="F4" s="42"/>
      <c r="G4" s="42"/>
      <c r="H4" s="51" t="str">
        <f>CONCATENATE($C$6," ",$C$7)</f>
        <v xml:space="preserve"> </v>
      </c>
      <c r="I4" s="440" t="s">
        <v>62</v>
      </c>
      <c r="J4" s="440"/>
      <c r="K4" s="440"/>
      <c r="L4" s="440"/>
      <c r="M4" s="42"/>
      <c r="N4" s="42"/>
      <c r="O4" s="42"/>
      <c r="P4" s="42"/>
      <c r="Q4" s="51" t="str">
        <f>CONCATENATE($C$6," ",$C$7)</f>
        <v xml:space="preserve"> </v>
      </c>
      <c r="S4" s="467" t="s">
        <v>63</v>
      </c>
      <c r="T4" s="468"/>
      <c r="U4" s="266">
        <f>((U2-(U2*SUM(T8:T14,T16,Y9)+(12*T15)))*Z14)</f>
        <v>0</v>
      </c>
      <c r="V4" s="267">
        <f>U4/365</f>
        <v>0</v>
      </c>
      <c r="W4" s="425"/>
      <c r="X4" s="476" t="s">
        <v>64</v>
      </c>
      <c r="Y4" s="478"/>
      <c r="Z4" s="476" t="s">
        <v>65</v>
      </c>
      <c r="AA4" s="478"/>
      <c r="AB4" s="479" t="s">
        <v>66</v>
      </c>
      <c r="AC4" s="480" t="s">
        <v>67</v>
      </c>
      <c r="AD4" s="477" t="s">
        <v>68</v>
      </c>
      <c r="AE4" s="1"/>
      <c r="AH4" s="476" t="s">
        <v>69</v>
      </c>
      <c r="AI4" s="476"/>
    </row>
    <row r="5" spans="1:35" ht="5.15" customHeight="1" x14ac:dyDescent="0.25">
      <c r="X5" s="476"/>
      <c r="Y5" s="478"/>
      <c r="Z5" s="476"/>
      <c r="AA5" s="478"/>
      <c r="AB5" s="479"/>
      <c r="AC5" s="480"/>
      <c r="AD5" s="477"/>
      <c r="AE5" s="2"/>
      <c r="AF5" s="4"/>
      <c r="AG5" s="48"/>
      <c r="AH5" s="476"/>
      <c r="AI5" s="476"/>
    </row>
    <row r="6" spans="1:35" s="2" customFormat="1" ht="13.5" thickBot="1" x14ac:dyDescent="0.35">
      <c r="A6" s="2" t="s">
        <v>70</v>
      </c>
      <c r="C6" s="466"/>
      <c r="D6" s="466"/>
      <c r="E6" s="2" t="s">
        <v>71</v>
      </c>
      <c r="F6" s="461"/>
      <c r="G6" s="466"/>
      <c r="I6" s="6" t="s">
        <v>72</v>
      </c>
      <c r="N6" s="6" t="str">
        <f>IF(AND(C16="Salaire horaire",G11="oui"),"Calcul de l'indemnité les heures de garde","")</f>
        <v/>
      </c>
      <c r="W6" s="426"/>
      <c r="X6" s="2" t="s">
        <v>73</v>
      </c>
      <c r="Y6" s="2" t="s">
        <v>73</v>
      </c>
      <c r="Z6" s="2" t="str">
        <f>IF(OR(G13="simplifiée",G13="à choisir"),"simplifiée","")</f>
        <v>simplifiée</v>
      </c>
      <c r="AA6" s="59" t="str">
        <f>IF('Attestation du salaire (simpl.)'!H43&lt;Grundlagen!$B$9,"non","oui")</f>
        <v>non</v>
      </c>
      <c r="AB6" s="232" t="s">
        <v>73</v>
      </c>
      <c r="AC6" s="59" t="str">
        <f>IF(OR(F9="Parents",F9="Enfant", F9="Grands-parents", F9="Petit-fils/fille", F9="Conjoint-e", F9="Partenariat enrégistré", F9="Concubin-e"),"oui","non")</f>
        <v>non</v>
      </c>
      <c r="AD6" s="59" t="e">
        <f>IF(C16="Salaire horaire",IF(OR(M8&lt;21.6,M8&gt;21.6),"non",IF(M13="","oui",IF(OR(M13&lt;21.6,M13&gt;21.6),"non","oui"))),IF(C17="non",IF(AD9=3930,"oui","non"),IF(AD10=3630,"oui","non")))</f>
        <v>#DIV/0!</v>
      </c>
      <c r="AF6" s="5" t="s">
        <v>74</v>
      </c>
      <c r="AG6" s="49"/>
      <c r="AH6" s="2" t="s">
        <v>73</v>
      </c>
    </row>
    <row r="7" spans="1:35" s="2" customFormat="1" ht="13" x14ac:dyDescent="0.3">
      <c r="A7" s="2" t="s">
        <v>75</v>
      </c>
      <c r="C7" s="466"/>
      <c r="D7" s="466"/>
      <c r="E7" s="2" t="s">
        <v>76</v>
      </c>
      <c r="F7" s="461"/>
      <c r="G7" s="461"/>
      <c r="I7" s="2" t="str">
        <f>IF(C16="Salaire horaire",IF(G10="oui","Taux d'occupation I","Taux d'occupation"),IF(C16="Salaire mensuel","Taux d'occupation",""))</f>
        <v/>
      </c>
      <c r="L7" s="380"/>
      <c r="M7" s="443">
        <f>42*L7</f>
        <v>0</v>
      </c>
      <c r="N7" s="2" t="str">
        <f>IF(AND(C16="Salaire horaire",G11="oui"),"1 heure de garde =","")</f>
        <v/>
      </c>
      <c r="P7" s="308"/>
      <c r="Q7" s="2" t="str">
        <f>IF(AND(C16="Salaire horaire",G11="oui"),"du Sal.horaire","")</f>
        <v/>
      </c>
      <c r="S7" s="250" t="s">
        <v>77</v>
      </c>
      <c r="T7" s="251" t="s">
        <v>78</v>
      </c>
      <c r="U7" s="252"/>
      <c r="W7" s="1"/>
      <c r="X7" s="2" t="s">
        <v>79</v>
      </c>
      <c r="Y7" s="2" t="s">
        <v>80</v>
      </c>
      <c r="Z7" s="59" t="str">
        <f>IF(OR(G13="ordinaire",G13="à choisir"),"ordinaire","")</f>
        <v>ordinaire</v>
      </c>
      <c r="AA7" s="59"/>
      <c r="AB7" s="59" t="s">
        <v>81</v>
      </c>
      <c r="AD7" s="59" t="e">
        <f>IF(C16="Salaire horaire",IF(OR(M8&lt;21.6,M8&gt;56.5),"non",IF(M13="","oui",IF(OR(M13&lt;21.6,M13&gt;56.5),"non","oui"))),IF(C17="non",IF(AD9&lt;3930,"non","oui"),IF(AD10&lt;3630,"non","oui")))</f>
        <v>#DIV/0!</v>
      </c>
      <c r="AF7" s="5" t="s">
        <v>82</v>
      </c>
      <c r="AG7" s="49">
        <v>0</v>
      </c>
      <c r="AH7" s="2" t="s">
        <v>83</v>
      </c>
    </row>
    <row r="8" spans="1:35" s="2" customFormat="1" ht="12" customHeight="1" x14ac:dyDescent="0.3">
      <c r="A8" s="2" t="s">
        <v>84</v>
      </c>
      <c r="C8" s="466"/>
      <c r="D8" s="466"/>
      <c r="E8" s="2" t="s">
        <v>85</v>
      </c>
      <c r="F8" s="466"/>
      <c r="G8" s="466"/>
      <c r="I8" s="5" t="str">
        <f>IF(AND($C$16="Salaire horaire",OR(H10="à choisir",G10="non")),"Salaire horaire (avec suppl. vacances)",IF(AND($C$16="Salaire horaire",$G$10="oui"),"Salaire horaire I (avec suppl. vacances)",IF(C16="Salaire mensuel","Salaire mensuel","")))</f>
        <v/>
      </c>
      <c r="L8" s="4">
        <v>0</v>
      </c>
      <c r="M8" s="249"/>
      <c r="S8" s="253" t="s">
        <v>86</v>
      </c>
      <c r="T8" s="255">
        <f>IF(F7="",0,IF(DATEDIF($F$7,$A$21,"Y")&lt;18,0,Grundlagen!$B$5))</f>
        <v>0</v>
      </c>
      <c r="U8" s="254"/>
      <c r="W8" s="427"/>
      <c r="X8" s="2" t="s">
        <v>87</v>
      </c>
      <c r="Y8" s="59" t="s">
        <v>88</v>
      </c>
      <c r="Z8" s="59"/>
      <c r="AB8" s="59" t="s">
        <v>89</v>
      </c>
      <c r="AD8" s="2" t="e">
        <f>IF(C16="Salaire horaire",IF(OR(M8&lt;21.6,M8&gt;56.5,M13&lt;21.6,M13&gt;56.5),"non","oui"),IF(C17="non",IF(AD9&lt;10290.1,"non","oui"),IF(AD10&lt;9500.1,"non","oui")))</f>
        <v>#DIV/0!</v>
      </c>
      <c r="AF8" s="5"/>
      <c r="AG8" s="49"/>
      <c r="AH8" s="2" t="s">
        <v>90</v>
      </c>
    </row>
    <row r="9" spans="1:35" s="2" customFormat="1" ht="13" x14ac:dyDescent="0.3">
      <c r="A9" s="2" t="s">
        <v>91</v>
      </c>
      <c r="C9" s="466"/>
      <c r="D9" s="466"/>
      <c r="E9" s="2" t="s">
        <v>92</v>
      </c>
      <c r="F9" s="469" t="s">
        <v>73</v>
      </c>
      <c r="G9" s="469"/>
      <c r="I9" s="4" t="str">
        <f>IF($C$16="Salaire horaire","Suppl. vacances","")</f>
        <v/>
      </c>
      <c r="K9" s="4" t="str">
        <f>IF($C$16="Salaire horaire",(IF(L9=8.33%,"4 semaines","5 semaines")),"")</f>
        <v/>
      </c>
      <c r="L9" s="48" t="str">
        <f>IF($C$16="Salaire horaire",(IF(OR((DATEDIF($F$7,$C$21,"Y")&lt;20),(DATEDIF($F$7,$C$21,"Y")&gt;49)),10.64%,8.33%)),"")</f>
        <v/>
      </c>
      <c r="M9" s="247" t="str">
        <f>IF($C$16="Salaire horaire",M8/(1+L9)*L9,"")</f>
        <v/>
      </c>
      <c r="N9" s="6" t="str">
        <f>IF(C16="Salaire horaire","Conversion des engagements de nuit en heures","")</f>
        <v/>
      </c>
      <c r="S9" s="253" t="s">
        <v>93</v>
      </c>
      <c r="T9" s="255">
        <f>IF(F7="",0,IF(DATEDIF($F$7,$A$21,"Y")&lt;18,0,IF($C$67="oui",0,Grundlagen!$B$6)))</f>
        <v>0</v>
      </c>
      <c r="U9" s="256"/>
      <c r="W9" s="428"/>
      <c r="Y9" s="75">
        <f>IF(G13="à choisir",0,IF(AND(Z6="simplifiée",'PA 2'!Z6="simplifiée",'PA 3'!Z6="simplifiée",'PA 4'!Z6="simplifiée",'PA 5'!Z6="simplifiée",'PA 6'!Z6="simplifiée",'PA 7'!Z6="simplifiée",'PA 8'!Z6="simplifiée",'PA 9'!Z6="simplifiée"),IF(DATEDIF($F$7,D21,"Y")&lt;17,0%,5%),0%))</f>
        <v>0</v>
      </c>
      <c r="Z9" s="59"/>
      <c r="AB9" s="59" t="s">
        <v>94</v>
      </c>
      <c r="AD9" s="59" t="e">
        <f>ROUND(M8/L7,0)</f>
        <v>#DIV/0!</v>
      </c>
      <c r="AF9" s="5"/>
      <c r="AG9" s="49"/>
    </row>
    <row r="10" spans="1:35" s="2" customFormat="1" ht="13" x14ac:dyDescent="0.3">
      <c r="A10" s="2" t="s">
        <v>95</v>
      </c>
      <c r="C10" s="378" t="s">
        <v>73</v>
      </c>
      <c r="E10" s="2" t="str">
        <f>IF(C16="Salaire horaire","Avez-vous 2 différents sal. horaire?","")</f>
        <v/>
      </c>
      <c r="G10" s="391"/>
      <c r="H10" s="176" t="str">
        <f>IF(G10&gt;1,"",IF(C16="Salaire horaire","à choisir",""))</f>
        <v/>
      </c>
      <c r="I10" s="5" t="str">
        <f>IF(AND($C$16="Salaire horaire",OR(H10="à choisir",G10="non")),"Salaire horaire (sans Suppl. vacances)",IF(AND($C$16="Salaire horaire",$G$10="oui"),"Salaire horaire I (sans Suppl. vacances)",""))</f>
        <v/>
      </c>
      <c r="M10" s="248" t="str">
        <f>IF($C$16="Salaire horaire",M8-M9,"")</f>
        <v/>
      </c>
      <c r="N10" s="2" t="str">
        <f>IF(C16="Salaire horaire","1 nuit correspond à","")</f>
        <v/>
      </c>
      <c r="P10" s="268"/>
      <c r="Q10" s="2" t="str">
        <f>IF(C16="Salaire horaire","heures","")</f>
        <v/>
      </c>
      <c r="S10" s="253"/>
      <c r="T10" s="255"/>
      <c r="U10" s="256"/>
      <c r="W10" s="1"/>
      <c r="X10" s="6" t="s">
        <v>96</v>
      </c>
      <c r="Y10" s="6" t="s">
        <v>97</v>
      </c>
      <c r="Z10" s="64" t="s">
        <v>98</v>
      </c>
      <c r="AB10" s="59" t="s">
        <v>99</v>
      </c>
      <c r="AD10" s="59" t="e">
        <f>ROUND(M8/L7,0)</f>
        <v>#DIV/0!</v>
      </c>
    </row>
    <row r="11" spans="1:35" s="2" customFormat="1" ht="13.5" customHeight="1" x14ac:dyDescent="0.3">
      <c r="A11" s="2" t="s">
        <v>100</v>
      </c>
      <c r="C11" s="378"/>
      <c r="E11" s="2" t="s">
        <v>101</v>
      </c>
      <c r="G11" s="381" t="s">
        <v>73</v>
      </c>
      <c r="S11" s="253" t="s">
        <v>102</v>
      </c>
      <c r="T11" s="387"/>
      <c r="U11" s="257" t="s">
        <v>103</v>
      </c>
      <c r="W11" s="1"/>
      <c r="X11" s="2" t="s">
        <v>73</v>
      </c>
      <c r="Y11" s="2" t="str">
        <f>IF(C16="Salaire mensuel","oui","")</f>
        <v/>
      </c>
      <c r="Z11" s="188">
        <f>IF(G13="simplifiée",126.8%,0)</f>
        <v>0</v>
      </c>
      <c r="AB11" s="59" t="s">
        <v>104</v>
      </c>
      <c r="AD11" s="59"/>
    </row>
    <row r="12" spans="1:35" s="2" customFormat="1" ht="13.5" customHeight="1" x14ac:dyDescent="0.3">
      <c r="A12" s="2" t="s">
        <v>105</v>
      </c>
      <c r="C12" s="378"/>
      <c r="E12" s="2" t="s">
        <v>106</v>
      </c>
      <c r="G12" s="381" t="s">
        <v>73</v>
      </c>
      <c r="I12" s="2" t="str">
        <f>IF(G10="oui","Taux d'occupation II","")</f>
        <v/>
      </c>
      <c r="L12" s="224"/>
      <c r="M12" s="246">
        <f>42*L12</f>
        <v>0</v>
      </c>
      <c r="S12" s="253"/>
      <c r="T12" s="1"/>
      <c r="U12" s="254"/>
      <c r="W12" s="1"/>
      <c r="X12" s="2" t="s">
        <v>107</v>
      </c>
      <c r="Y12" s="2" t="str">
        <f>IF(C16="Salaire mensuel","non","")</f>
        <v/>
      </c>
      <c r="Z12" s="188">
        <f>IF(AND(G13="ordinaire",T15=0,T16=0),119.9%,0)</f>
        <v>0</v>
      </c>
      <c r="AA12" s="59"/>
      <c r="AB12" s="59" t="s">
        <v>108</v>
      </c>
      <c r="AC12" s="64" t="s">
        <v>109</v>
      </c>
      <c r="AD12" s="59"/>
    </row>
    <row r="13" spans="1:35" s="2" customFormat="1" ht="12.75" customHeight="1" x14ac:dyDescent="0.3">
      <c r="A13" s="2" t="s">
        <v>110</v>
      </c>
      <c r="C13" s="378"/>
      <c r="E13" s="2" t="s">
        <v>111</v>
      </c>
      <c r="G13" s="381" t="s">
        <v>73</v>
      </c>
      <c r="I13" s="5" t="str">
        <f>IF(G10="oui","Salaire horaire II (avec Suppl. vacances)","")</f>
        <v/>
      </c>
      <c r="L13" s="4"/>
      <c r="M13" s="249"/>
      <c r="S13" s="253" t="s">
        <v>112</v>
      </c>
      <c r="T13" s="388"/>
      <c r="U13" s="257" t="s">
        <v>103</v>
      </c>
      <c r="W13" s="425"/>
      <c r="X13" s="2" t="s">
        <v>113</v>
      </c>
      <c r="Y13" s="2">
        <f>IF(C17="oui",M8/12,0)</f>
        <v>0</v>
      </c>
      <c r="Z13" s="188">
        <f>IF(OR(T15&gt;0,T16&gt;0),129.2%,0)</f>
        <v>0</v>
      </c>
      <c r="AA13" s="59"/>
      <c r="AB13" s="59" t="s">
        <v>114</v>
      </c>
      <c r="AC13" s="59" t="s">
        <v>83</v>
      </c>
      <c r="AD13" s="59"/>
    </row>
    <row r="14" spans="1:35" s="2" customFormat="1" ht="12.75" customHeight="1" x14ac:dyDescent="0.3">
      <c r="A14" s="2" t="s">
        <v>115</v>
      </c>
      <c r="C14" s="379"/>
      <c r="E14" s="2" t="s">
        <v>116</v>
      </c>
      <c r="F14" s="466"/>
      <c r="G14" s="466"/>
      <c r="I14" s="4" t="str">
        <f>IF(G10="oui","Suppl. vacances","")</f>
        <v/>
      </c>
      <c r="K14" s="4" t="str">
        <f>IF($G$10="oui",(IF(L14=8.33%,"4 semaines","5 semaines")),"")</f>
        <v/>
      </c>
      <c r="L14" s="48" t="str">
        <f>IF(G10="oui",(IF(OR((DATEDIF($F$7,$C$21,"Y")&lt;20),(DATEDIF($F$7,$C$21,"Y")&gt;49)),10.64%,8.33%)),"")</f>
        <v/>
      </c>
      <c r="M14" s="247" t="str">
        <f>IF(G10="oui",M13/(1+L14)*L14,"")</f>
        <v/>
      </c>
      <c r="S14" s="258"/>
      <c r="T14" s="1"/>
      <c r="U14" s="254"/>
      <c r="W14" s="425"/>
      <c r="Y14" s="157">
        <f>M8</f>
        <v>0</v>
      </c>
      <c r="Z14" s="188">
        <f>SUM(Z11:Z13)</f>
        <v>0</v>
      </c>
      <c r="AA14" s="59"/>
      <c r="AB14" s="58" t="s">
        <v>117</v>
      </c>
      <c r="AC14" s="59" t="s">
        <v>90</v>
      </c>
      <c r="AD14" s="59"/>
    </row>
    <row r="15" spans="1:35" s="2" customFormat="1" ht="12.75" customHeight="1" x14ac:dyDescent="0.3">
      <c r="A15" s="2" t="s">
        <v>118</v>
      </c>
      <c r="C15" s="379"/>
      <c r="E15" s="2" t="s">
        <v>119</v>
      </c>
      <c r="F15" s="466"/>
      <c r="G15" s="466"/>
      <c r="I15" s="5" t="str">
        <f>IF(G10="oui","Salaire horaire II (sans Suppl. vacances)","")</f>
        <v/>
      </c>
      <c r="M15" s="248" t="str">
        <f>IF(G10="oui",M13-M14,"")</f>
        <v/>
      </c>
      <c r="S15" s="253" t="s">
        <v>120</v>
      </c>
      <c r="T15" s="389"/>
      <c r="U15" s="259" t="s">
        <v>121</v>
      </c>
      <c r="W15" s="1"/>
      <c r="Y15" s="2">
        <f>SUM(Y13:Y14)</f>
        <v>0</v>
      </c>
      <c r="Z15" s="59"/>
      <c r="AA15" s="59"/>
      <c r="AB15" s="59" t="s">
        <v>122</v>
      </c>
      <c r="AD15" s="59"/>
    </row>
    <row r="16" spans="1:35" s="2" customFormat="1" ht="12.75" customHeight="1" thickBot="1" x14ac:dyDescent="0.35">
      <c r="A16" s="2" t="s">
        <v>123</v>
      </c>
      <c r="C16" s="378" t="s">
        <v>73</v>
      </c>
      <c r="E16" s="2" t="s">
        <v>124</v>
      </c>
      <c r="F16" s="466"/>
      <c r="G16" s="466"/>
      <c r="S16" s="260" t="s">
        <v>125</v>
      </c>
      <c r="T16" s="390"/>
      <c r="U16" s="261" t="s">
        <v>126</v>
      </c>
      <c r="W16" s="1"/>
      <c r="Z16" s="59"/>
      <c r="AA16" s="59"/>
      <c r="AB16" s="58" t="s">
        <v>127</v>
      </c>
      <c r="AC16" s="59"/>
      <c r="AD16" s="59"/>
    </row>
    <row r="17" spans="1:37" s="2" customFormat="1" ht="12.75" customHeight="1" thickBot="1" x14ac:dyDescent="0.35">
      <c r="A17" s="2" t="str">
        <f>IF(C16="Salaire mensuel","13ème salaire","")</f>
        <v/>
      </c>
      <c r="C17" s="329"/>
      <c r="D17" s="176" t="str">
        <f>IF(C17&gt;1,"",IF(A17="13ème salaire","à choisir",""))</f>
        <v/>
      </c>
      <c r="E17" s="422" t="s">
        <v>128</v>
      </c>
      <c r="F17" s="423" t="str">
        <f>IF($F$7="","",IF($C$10="masculin",DATE(YEAR($F$7)+65,MONTH($F$7)+1,1),IF($C$10="féminin",DATE(YEAR($F$7)+64,MONTH($F$7)+1+VLOOKUP(YEAR($F$7),Grundlagen!$F$1:$G$26,2,TRUE),1),"")))</f>
        <v/>
      </c>
      <c r="H17" s="175"/>
      <c r="W17" s="1"/>
      <c r="X17" s="59"/>
      <c r="Y17" s="59"/>
      <c r="Z17" s="59"/>
      <c r="AA17" s="59"/>
      <c r="AB17" s="59" t="s">
        <v>129</v>
      </c>
      <c r="AC17" s="59"/>
      <c r="AD17" s="59"/>
    </row>
    <row r="18" spans="1:37" s="2" customFormat="1" ht="12" customHeight="1" x14ac:dyDescent="0.3">
      <c r="H18" s="175"/>
      <c r="M18" s="175"/>
      <c r="S18" s="484" t="s">
        <v>130</v>
      </c>
      <c r="T18" s="485"/>
      <c r="U18" s="486"/>
      <c r="V18" s="340"/>
      <c r="X18" s="158"/>
      <c r="Y18" s="159"/>
      <c r="Z18" s="59"/>
      <c r="AA18" s="59"/>
      <c r="AB18" s="59" t="s">
        <v>131</v>
      </c>
      <c r="AC18" s="59"/>
      <c r="AD18" s="59"/>
      <c r="AE18" s="59"/>
    </row>
    <row r="19" spans="1:37" s="2" customFormat="1" ht="14" x14ac:dyDescent="0.3">
      <c r="A19" s="41" t="s">
        <v>132</v>
      </c>
      <c r="B19" s="41"/>
      <c r="C19" s="52"/>
      <c r="D19" s="52"/>
      <c r="E19" s="52"/>
      <c r="F19" s="52"/>
      <c r="G19" s="52"/>
      <c r="H19" s="52"/>
      <c r="I19" s="41" t="str">
        <f>$A$19</f>
        <v>Décompte de salaire</v>
      </c>
      <c r="J19" s="41"/>
      <c r="K19" s="52"/>
      <c r="L19" s="52"/>
      <c r="M19" s="52"/>
      <c r="N19" s="52"/>
      <c r="O19" s="52"/>
      <c r="P19" s="52"/>
      <c r="Q19" s="52"/>
      <c r="S19" s="262"/>
      <c r="U19" s="263"/>
      <c r="X19" s="158"/>
      <c r="Y19" s="159"/>
      <c r="Z19" s="59"/>
      <c r="AA19" s="59"/>
      <c r="AB19" s="59" t="s">
        <v>133</v>
      </c>
      <c r="AC19" s="59"/>
      <c r="AD19" s="59"/>
      <c r="AE19" s="59"/>
    </row>
    <row r="20" spans="1:37" s="2" customFormat="1" ht="5.15" customHeight="1" thickBot="1" x14ac:dyDescent="0.3">
      <c r="C20" s="80"/>
      <c r="D20" s="81"/>
      <c r="E20" s="5"/>
      <c r="F20" s="5"/>
      <c r="G20" s="5"/>
      <c r="H20" s="49"/>
      <c r="I20" s="49"/>
      <c r="K20" s="49"/>
      <c r="S20" s="481">
        <f>IF(F7="",0,IF(OR(G13="ordinaire",G13="à choisir"),0,(IF(G13="simplifiée",IF(OR($F$9="Conjoint-e",$F$9="Enfant",$F$9="Partenariat enrégistré"),"Ni la conjointe ou le conjoint de l’employeur ni ses enfants ne peuvent utiliser la procédure de décompte AVS simplifiée.",IF(OR(Q38+Q39&gt;Grundlagen!$B$8-0.01,U2&gt;Grundlagen!$B$8-0.01),"La procédure de décompte simplifiée ne peut pas être appliquée si le salaire annuel est supérieur à CHF"&amp;Grundlagen!$B$8&amp;"!",IF(AA6="oui","La procédure de décompte simplifiée ne peut pas être appliquée si la masse salariale totale est supérieure à CHF "&amp;Grundlagen!$B$9&amp;"!",IF(DATEDIF($F$7,$A$21,"Y")&lt;19,0,IF(G13="ordinaire",0,0)))))))))</f>
        <v>0</v>
      </c>
      <c r="T20" s="482"/>
      <c r="U20" s="483"/>
      <c r="V20" s="370"/>
      <c r="X20" s="158"/>
      <c r="Y20" s="159"/>
      <c r="Z20" s="59"/>
      <c r="AA20" s="59"/>
      <c r="AB20" s="59"/>
      <c r="AD20" s="59"/>
      <c r="AE20" s="59"/>
    </row>
    <row r="21" spans="1:37" s="2" customFormat="1" ht="15" customHeight="1" x14ac:dyDescent="0.25">
      <c r="A21" s="310">
        <f>Grundlagen!$C$1</f>
        <v>46387</v>
      </c>
      <c r="B21" s="269"/>
      <c r="C21" s="82">
        <f>Grundlagen!$B$1</f>
        <v>46023</v>
      </c>
      <c r="D21" s="82">
        <f>DATE(YEAR(C21),MONTH(C21)+1,1)</f>
        <v>46054</v>
      </c>
      <c r="E21" s="82">
        <f t="shared" ref="E21:H21" si="0">DATE(YEAR(D21),MONTH(D21)+1,1)</f>
        <v>46082</v>
      </c>
      <c r="F21" s="82">
        <f t="shared" si="0"/>
        <v>46113</v>
      </c>
      <c r="G21" s="82">
        <f t="shared" si="0"/>
        <v>46143</v>
      </c>
      <c r="H21" s="69">
        <f t="shared" si="0"/>
        <v>46174</v>
      </c>
      <c r="I21" s="310">
        <f t="shared" ref="I21:I22" si="1">A21</f>
        <v>46387</v>
      </c>
      <c r="J21" s="269"/>
      <c r="K21" s="82">
        <f>DATE(YEAR(H21),MONTH(H21)+1,1)</f>
        <v>46204</v>
      </c>
      <c r="L21" s="82">
        <f>DATE(YEAR(K21),MONTH(K21)+1,1)</f>
        <v>46235</v>
      </c>
      <c r="M21" s="82">
        <f t="shared" ref="M21:P21" si="2">DATE(YEAR(L21),MONTH(L21)+1,1)</f>
        <v>46266</v>
      </c>
      <c r="N21" s="82">
        <f t="shared" si="2"/>
        <v>46296</v>
      </c>
      <c r="O21" s="82">
        <f t="shared" si="2"/>
        <v>46327</v>
      </c>
      <c r="P21" s="69">
        <f t="shared" si="2"/>
        <v>46357</v>
      </c>
      <c r="Q21" s="97" t="s">
        <v>134</v>
      </c>
      <c r="S21" s="481"/>
      <c r="T21" s="482"/>
      <c r="U21" s="483"/>
      <c r="V21" s="370"/>
      <c r="W21" s="2">
        <f>IF(S20=0,0,5)</f>
        <v>0</v>
      </c>
      <c r="X21" s="158"/>
      <c r="Y21" s="159"/>
      <c r="Z21" s="59"/>
      <c r="AA21" s="59"/>
      <c r="AB21" s="59"/>
      <c r="AC21" s="59"/>
      <c r="AD21" s="59"/>
      <c r="AE21" s="59"/>
    </row>
    <row r="22" spans="1:37" s="2" customFormat="1" ht="15" customHeight="1" x14ac:dyDescent="0.25">
      <c r="A22" s="311" t="str">
        <f>IF($C$16="Salaire horaire","",IF(C16="à choisir","","Salaire mensuel"))</f>
        <v/>
      </c>
      <c r="B22" s="270" t="str">
        <f>IF(A22="Salaire mensuel","CHF"," ")</f>
        <v xml:space="preserve"> </v>
      </c>
      <c r="C22" s="286">
        <f t="shared" ref="C22:H22" si="3">IF(OR($C$16="Salaire horaire",$C$16="à choisir"),0,IF($C$16="Salaire mensuel",(IF(OR(MONTH(IF($C$14&lt;$C$21,$C$21,$C$14))&gt;MONTH(C21),MONTH(IF($C$15="",$A$21,$C$15))&lt;MONTH(C21)),0,$M$8))))</f>
        <v>0</v>
      </c>
      <c r="D22" s="286">
        <f t="shared" si="3"/>
        <v>0</v>
      </c>
      <c r="E22" s="286">
        <f t="shared" si="3"/>
        <v>0</v>
      </c>
      <c r="F22" s="286">
        <f t="shared" si="3"/>
        <v>0</v>
      </c>
      <c r="G22" s="286">
        <f t="shared" si="3"/>
        <v>0</v>
      </c>
      <c r="H22" s="287">
        <f t="shared" si="3"/>
        <v>0</v>
      </c>
      <c r="I22" s="312" t="str">
        <f t="shared" si="1"/>
        <v/>
      </c>
      <c r="J22" s="270" t="str">
        <f>IF(I22="Salaire mensuel","CHF"," ")</f>
        <v xml:space="preserve"> </v>
      </c>
      <c r="K22" s="286">
        <f t="shared" ref="K22:P22" si="4">IF(OR($C$16="Salaire horaire",$C$16="à choisir"),0,IF($C$16="Salaire mensuel",(IF(OR(MONTH(IF($C$14&lt;$C$21,$C$21,$C$14))&gt;MONTH(K21),MONTH(IF($C$15="",$A$21,$C$15))&lt;MONTH(K21)),0,$M$8))))</f>
        <v>0</v>
      </c>
      <c r="L22" s="286">
        <f t="shared" si="4"/>
        <v>0</v>
      </c>
      <c r="M22" s="286">
        <f t="shared" si="4"/>
        <v>0</v>
      </c>
      <c r="N22" s="286">
        <f t="shared" si="4"/>
        <v>0</v>
      </c>
      <c r="O22" s="286">
        <f t="shared" si="4"/>
        <v>0</v>
      </c>
      <c r="P22" s="287">
        <f t="shared" si="4"/>
        <v>0</v>
      </c>
      <c r="Q22" s="302">
        <f t="shared" ref="Q22" si="5">ROUND((SUM(C22:H22)+SUM(K22:P22))*20,0)/20</f>
        <v>0</v>
      </c>
      <c r="S22" s="481"/>
      <c r="T22" s="482"/>
      <c r="U22" s="483"/>
      <c r="V22" s="370"/>
      <c r="X22" s="158"/>
      <c r="Y22" s="159"/>
      <c r="Z22" s="59"/>
      <c r="AA22" s="59"/>
      <c r="AB22" s="59"/>
      <c r="AC22" s="59"/>
      <c r="AD22" s="59"/>
      <c r="AE22" s="59"/>
    </row>
    <row r="23" spans="1:37" s="2" customFormat="1" ht="15" customHeight="1" x14ac:dyDescent="0.25">
      <c r="A23" s="311" t="str">
        <f>IF($C$16="Salaire horaire","",(IF($C$17="oui","13. Salaire mensuel","")))</f>
        <v/>
      </c>
      <c r="B23" s="270" t="str">
        <f>IF(A23="13. Salaire mensuel","CHF"," ")</f>
        <v xml:space="preserve"> </v>
      </c>
      <c r="C23" s="286">
        <f t="shared" ref="C23:H23" si="6">IF(OR($C$16="Salaire horaire",$C$16="à choisir"),0,(IF($C$17="oui",(C$22+C32+C33)/12,"")))</f>
        <v>0</v>
      </c>
      <c r="D23" s="288">
        <f t="shared" si="6"/>
        <v>0</v>
      </c>
      <c r="E23" s="288">
        <f t="shared" si="6"/>
        <v>0</v>
      </c>
      <c r="F23" s="288">
        <f t="shared" si="6"/>
        <v>0</v>
      </c>
      <c r="G23" s="288">
        <f t="shared" si="6"/>
        <v>0</v>
      </c>
      <c r="H23" s="287">
        <f t="shared" si="6"/>
        <v>0</v>
      </c>
      <c r="I23" s="312" t="str">
        <f t="shared" ref="I23:I52" si="7">A23</f>
        <v/>
      </c>
      <c r="J23" s="270" t="str">
        <f>IF(I23="13. Salaire mensuel","CHF"," ")</f>
        <v xml:space="preserve"> </v>
      </c>
      <c r="K23" s="288">
        <f t="shared" ref="K23:P23" si="8">IF(OR($C$16="Salaire horaire",$C$16="à choisir"),0,(IF($C$17="oui",(K$22+K32+K33)/12,"")))</f>
        <v>0</v>
      </c>
      <c r="L23" s="288">
        <f t="shared" si="8"/>
        <v>0</v>
      </c>
      <c r="M23" s="288">
        <f t="shared" si="8"/>
        <v>0</v>
      </c>
      <c r="N23" s="303">
        <f t="shared" si="8"/>
        <v>0</v>
      </c>
      <c r="O23" s="288">
        <f t="shared" si="8"/>
        <v>0</v>
      </c>
      <c r="P23" s="287">
        <f t="shared" si="8"/>
        <v>0</v>
      </c>
      <c r="Q23" s="240">
        <f t="shared" ref="Q23:Q37" si="9">ROUND((SUM(C23:H23)+SUM(K23:P23))*20,0)/20</f>
        <v>0</v>
      </c>
      <c r="S23" s="262"/>
      <c r="U23" s="263"/>
      <c r="Y23" s="58"/>
      <c r="Z23" s="58"/>
      <c r="AA23" s="58"/>
      <c r="AB23" s="58"/>
      <c r="AC23" s="58"/>
      <c r="AD23" s="58"/>
      <c r="AE23" s="58"/>
      <c r="AF23" s="58"/>
    </row>
    <row r="24" spans="1:37" s="2" customFormat="1" ht="15" customHeight="1" x14ac:dyDescent="0.25">
      <c r="A24" s="444" t="str">
        <f>IF(G11="oui","Nombre d'heures 
de garde","")</f>
        <v/>
      </c>
      <c r="B24" s="447" t="str">
        <f>IF(A24="Nombre d'heures 
de garde","h"," ")</f>
        <v xml:space="preserve"> </v>
      </c>
      <c r="C24" s="288"/>
      <c r="D24" s="288"/>
      <c r="E24" s="288"/>
      <c r="F24" s="288"/>
      <c r="G24" s="288"/>
      <c r="H24" s="287"/>
      <c r="I24" s="311" t="str">
        <f t="shared" si="7"/>
        <v/>
      </c>
      <c r="J24" s="330" t="str">
        <f>B24</f>
        <v xml:space="preserve"> </v>
      </c>
      <c r="K24" s="288"/>
      <c r="L24" s="288"/>
      <c r="M24" s="288"/>
      <c r="N24" s="288"/>
      <c r="O24" s="288"/>
      <c r="P24" s="287"/>
      <c r="Q24" s="304">
        <f t="shared" si="9"/>
        <v>0</v>
      </c>
      <c r="S24" s="481">
        <f>IF(OR(AND(Z6="simplifiée",'PA 2'!Z6="simplifiée",'PA 3'!Z6="simplifiée",'PA 4'!Z6="simplifiée",'PA 5'!Z6="simplifiée",'PA 6'!Z6="simplifiée",'PA 7'!Z6="simplifiée",'PA 8'!Z6="simplifiée",'PA 9'!Z6="simplifiée"),(AND(Z7="ordinaire",'PA 2'!Z7="ordinaire",'PA 3'!Z7="ordinaire",'PA 4'!Z7="ordinaire",'PA 5'!Z7="ordinaire",'PA 6'!Z7="ordinaire",'PA 7'!Z7="ordinaire",'PA 8'!Z7="ordinaire",'PA 9'!Z7="ordinaire"))),0,"ATTENTION: la même procédure de décompte AVS doit être utilisée pour tous les prestataires d’assistance!")</f>
        <v>0</v>
      </c>
      <c r="T24" s="482"/>
      <c r="U24" s="483"/>
      <c r="V24" s="370"/>
      <c r="Y24" s="58"/>
      <c r="Z24" s="58"/>
      <c r="AA24" s="58"/>
      <c r="AB24" s="58"/>
      <c r="AC24" s="58"/>
      <c r="AD24" s="58"/>
      <c r="AE24" s="58"/>
      <c r="AF24" s="58"/>
    </row>
    <row r="25" spans="1:37" s="6" customFormat="1" ht="13" x14ac:dyDescent="0.3">
      <c r="A25" s="450" t="str">
        <f>IF(AND(C16="Salaire mensuel",G12="oui"),"Nombre d'engagements de nuit",IF(P10&gt;0.1,"Nombre d'engagements de nuit",""))</f>
        <v/>
      </c>
      <c r="B25" s="270" t="str">
        <f>IF(A25="Nombre d'engagements de nuit","Nb."," ")</f>
        <v xml:space="preserve"> </v>
      </c>
      <c r="C25" s="289"/>
      <c r="D25" s="289"/>
      <c r="E25" s="289"/>
      <c r="F25" s="289"/>
      <c r="G25" s="289"/>
      <c r="H25" s="290"/>
      <c r="I25" s="450" t="str">
        <f t="shared" si="7"/>
        <v/>
      </c>
      <c r="J25" s="270" t="str">
        <f>B25</f>
        <v xml:space="preserve"> </v>
      </c>
      <c r="K25" s="289"/>
      <c r="L25" s="289"/>
      <c r="M25" s="289"/>
      <c r="N25" s="289"/>
      <c r="O25" s="289"/>
      <c r="P25" s="305"/>
      <c r="Q25" s="302">
        <f t="shared" si="9"/>
        <v>0</v>
      </c>
      <c r="R25" s="76"/>
      <c r="S25" s="481"/>
      <c r="T25" s="482"/>
      <c r="U25" s="483"/>
      <c r="V25" s="370"/>
      <c r="W25" s="2">
        <f>IF(S24&gt;1,5,0)</f>
        <v>0</v>
      </c>
      <c r="X25" s="102"/>
      <c r="Y25" s="99"/>
      <c r="Z25" s="100"/>
      <c r="AA25" s="77"/>
      <c r="AB25" s="77"/>
      <c r="AC25" s="77"/>
      <c r="AD25" s="77"/>
      <c r="AE25" s="77"/>
      <c r="AF25" s="77"/>
    </row>
    <row r="26" spans="1:37" s="6" customFormat="1" ht="15" customHeight="1" x14ac:dyDescent="0.3">
      <c r="A26" s="312" t="str">
        <f>IF(AND($C$16="Salaire mensuel",$G$12="oui"),"Nombre d'heures",IF(C16="Salaire horaire",IF(G10="oui","Nombre d'heures I","Nombre d'heures"),""))</f>
        <v/>
      </c>
      <c r="B26" s="271" t="str">
        <f>IF(OR(A26="Nombre d'heures Standard",A26="Nombre d'heures",A26="Nombre d'heures I"),"h"," ")</f>
        <v xml:space="preserve"> </v>
      </c>
      <c r="C26" s="288"/>
      <c r="D26" s="288"/>
      <c r="E26" s="288"/>
      <c r="F26" s="288"/>
      <c r="G26" s="288"/>
      <c r="H26" s="287"/>
      <c r="I26" s="312" t="str">
        <f t="shared" si="7"/>
        <v/>
      </c>
      <c r="J26" s="271" t="str">
        <f>IF(OR(I26="Nombre d'heures Standard",I26="Nombre d'heures",I26="Nombre d'heures I"),"h"," ")</f>
        <v xml:space="preserve"> </v>
      </c>
      <c r="K26" s="288"/>
      <c r="L26" s="288"/>
      <c r="M26" s="288"/>
      <c r="N26" s="288"/>
      <c r="O26" s="288"/>
      <c r="P26" s="287"/>
      <c r="Q26" s="304">
        <f t="shared" si="9"/>
        <v>0</v>
      </c>
      <c r="R26" s="76"/>
      <c r="S26" s="481"/>
      <c r="T26" s="482"/>
      <c r="U26" s="483"/>
      <c r="V26" s="370"/>
      <c r="W26" s="76"/>
      <c r="X26" s="102"/>
      <c r="Y26" s="99"/>
      <c r="Z26" s="59"/>
      <c r="AA26" s="77"/>
      <c r="AB26" s="77"/>
      <c r="AC26" s="77"/>
      <c r="AD26" s="77"/>
      <c r="AE26" s="77"/>
      <c r="AF26" s="77"/>
    </row>
    <row r="27" spans="1:37" s="6" customFormat="1" ht="15" customHeight="1" x14ac:dyDescent="0.3">
      <c r="A27" s="312" t="str">
        <f>IF($C$16="Salaire horaire",IF(G10="oui","Salaire horaire I","Salaire horaire"),"")</f>
        <v/>
      </c>
      <c r="B27" s="270" t="str">
        <f>IF(OR(A27="Salaire horaire Standard",A27="Salaire horaire",A27="Salaire horaire I"),"CHF"," ")</f>
        <v xml:space="preserve"> </v>
      </c>
      <c r="C27" s="237" t="str">
        <f t="shared" ref="C27:H27" si="10">IF($C$16="Salaire horaire",(IF(OR((DATEDIF($F$7,C21,"Y")&lt;20),(DATEDIF($F$7,C21,"Y")&gt;49)),$M$8/110.64%*(C26+C24*$P$7+C25*$P$10),$M$8/108.33%*(C26+C24*$P$7+C25*$P$10))),"")</f>
        <v/>
      </c>
      <c r="D27" s="237" t="str">
        <f t="shared" si="10"/>
        <v/>
      </c>
      <c r="E27" s="237" t="str">
        <f t="shared" si="10"/>
        <v/>
      </c>
      <c r="F27" s="237" t="str">
        <f t="shared" si="10"/>
        <v/>
      </c>
      <c r="G27" s="237" t="str">
        <f t="shared" si="10"/>
        <v/>
      </c>
      <c r="H27" s="238" t="str">
        <f t="shared" si="10"/>
        <v/>
      </c>
      <c r="I27" s="312" t="str">
        <f t="shared" si="7"/>
        <v/>
      </c>
      <c r="J27" s="270" t="str">
        <f>IF(OR(I27="Salaire horaire Standard",I27="Salaire horaire",I27="Salaire horaire I"),"CHF"," ")</f>
        <v xml:space="preserve"> </v>
      </c>
      <c r="K27" s="237" t="str">
        <f t="shared" ref="K27:P27" si="11">IF($C$16="Salaire horaire",(IF(OR((DATEDIF($F$7,K21,"Y")&lt;20),(DATEDIF($F$7,K21,"Y")&gt;49)),$M$8/110.64%*(K26+K24*$P$7+K25*$P$10),$M$8/108.33%*(K26+K24*$P$7+K25*$P$10))),"")</f>
        <v/>
      </c>
      <c r="L27" s="237" t="str">
        <f t="shared" si="11"/>
        <v/>
      </c>
      <c r="M27" s="237" t="str">
        <f t="shared" si="11"/>
        <v/>
      </c>
      <c r="N27" s="237" t="str">
        <f t="shared" si="11"/>
        <v/>
      </c>
      <c r="O27" s="237" t="str">
        <f t="shared" si="11"/>
        <v/>
      </c>
      <c r="P27" s="238" t="str">
        <f t="shared" si="11"/>
        <v/>
      </c>
      <c r="Q27" s="304">
        <f t="shared" si="9"/>
        <v>0</v>
      </c>
      <c r="R27" s="76"/>
      <c r="S27" s="262"/>
      <c r="T27" s="2"/>
      <c r="U27" s="263"/>
      <c r="V27" s="2"/>
      <c r="W27" s="76"/>
      <c r="X27" s="102"/>
      <c r="Y27" s="99"/>
      <c r="Z27" s="59"/>
      <c r="AA27" s="77"/>
      <c r="AB27" s="77"/>
      <c r="AC27" s="77"/>
      <c r="AD27" s="77"/>
      <c r="AE27" s="77"/>
      <c r="AF27" s="77"/>
    </row>
    <row r="28" spans="1:37" s="2" customFormat="1" ht="15" customHeight="1" x14ac:dyDescent="0.25">
      <c r="A28" s="312" t="str">
        <f>IF(G10="oui","Nombre d'heures II","")</f>
        <v/>
      </c>
      <c r="B28" s="271" t="str">
        <f>IF(OR(A28="Nombre d'heures Quali B",A28="Nombre d'heures II"),"h"," ")</f>
        <v xml:space="preserve"> </v>
      </c>
      <c r="C28" s="288"/>
      <c r="D28" s="288"/>
      <c r="E28" s="288"/>
      <c r="F28" s="288"/>
      <c r="G28" s="288"/>
      <c r="H28" s="287"/>
      <c r="I28" s="312" t="str">
        <f t="shared" si="7"/>
        <v/>
      </c>
      <c r="J28" s="271" t="str">
        <f>IF(OR(I28="Nombre d'heures Quali B",I28="Nombre d'heures II"),"h"," ")</f>
        <v xml:space="preserve"> </v>
      </c>
      <c r="K28" s="288"/>
      <c r="L28" s="288"/>
      <c r="M28" s="288"/>
      <c r="N28" s="303"/>
      <c r="O28" s="288"/>
      <c r="P28" s="287"/>
      <c r="Q28" s="304">
        <f t="shared" si="9"/>
        <v>0</v>
      </c>
      <c r="R28" s="78"/>
      <c r="S28" s="481">
        <f>IF(AND(AC6="oui",(G12="oui")),"ATTENTION: le salaire des proches ne doit pas ètre réglé avec la contribution d'assistance d l'AI",0)</f>
        <v>0</v>
      </c>
      <c r="T28" s="482"/>
      <c r="U28" s="483"/>
      <c r="V28" s="370"/>
      <c r="W28" s="78"/>
      <c r="X28" s="101"/>
      <c r="Y28" s="98"/>
    </row>
    <row r="29" spans="1:37" s="6" customFormat="1" ht="15" customHeight="1" x14ac:dyDescent="0.25">
      <c r="A29" s="312" t="str">
        <f>IF(G10="oui","Salaire horaire II","")</f>
        <v/>
      </c>
      <c r="B29" s="270" t="str">
        <f>IF(OR(A29="Salaire horaire Quali B",A29="Salaire horaire II"),"CHF"," ")</f>
        <v xml:space="preserve"> </v>
      </c>
      <c r="C29" s="237" t="str">
        <f t="shared" ref="C29:H29" si="12">IF($C$16="Salaire horaire",(IF(OR((DATEDIF($F$7,C21,"Y")&lt;20),(DATEDIF($F$7,C21,"Y")&gt;49)),$M$13/110.64%*(C28),$M$13/108.33%*(C28))),"")</f>
        <v/>
      </c>
      <c r="D29" s="237" t="str">
        <f t="shared" si="12"/>
        <v/>
      </c>
      <c r="E29" s="237" t="str">
        <f t="shared" si="12"/>
        <v/>
      </c>
      <c r="F29" s="237" t="str">
        <f t="shared" si="12"/>
        <v/>
      </c>
      <c r="G29" s="237" t="str">
        <f t="shared" si="12"/>
        <v/>
      </c>
      <c r="H29" s="238" t="str">
        <f t="shared" si="12"/>
        <v/>
      </c>
      <c r="I29" s="312" t="str">
        <f t="shared" si="7"/>
        <v/>
      </c>
      <c r="J29" s="270" t="str">
        <f>IF(OR(I29="Salaire horaire Quali B",I29="Salaire horaire II"),"CHF"," ")</f>
        <v xml:space="preserve"> </v>
      </c>
      <c r="K29" s="237" t="str">
        <f t="shared" ref="K29:P29" si="13">IF($C$16="Salaire horaire",(IF(OR((DATEDIF($F$7,K21,"Y")&lt;20),(DATEDIF($F$7,K21,"Y")&gt;49)),$M$13/110.64%*(K28),$M$13/108.33%*(K28))),"")</f>
        <v/>
      </c>
      <c r="L29" s="237" t="str">
        <f t="shared" si="13"/>
        <v/>
      </c>
      <c r="M29" s="237" t="str">
        <f t="shared" si="13"/>
        <v/>
      </c>
      <c r="N29" s="237" t="str">
        <f t="shared" si="13"/>
        <v/>
      </c>
      <c r="O29" s="237" t="str">
        <f t="shared" si="13"/>
        <v/>
      </c>
      <c r="P29" s="238" t="str">
        <f t="shared" si="13"/>
        <v/>
      </c>
      <c r="Q29" s="304">
        <f t="shared" si="9"/>
        <v>0</v>
      </c>
      <c r="R29" s="65"/>
      <c r="S29" s="481"/>
      <c r="T29" s="482"/>
      <c r="U29" s="483"/>
      <c r="V29" s="370"/>
      <c r="W29" s="2">
        <f>IF(S28&gt;1,5,0)</f>
        <v>0</v>
      </c>
      <c r="X29" s="103"/>
      <c r="Y29" s="98"/>
      <c r="Z29" s="59"/>
      <c r="AA29" s="59"/>
      <c r="AB29" s="59"/>
      <c r="AC29" s="59"/>
      <c r="AD29" s="59"/>
      <c r="AE29" s="59"/>
      <c r="AF29" s="59"/>
    </row>
    <row r="30" spans="1:37" s="6" customFormat="1" ht="15" customHeight="1" x14ac:dyDescent="0.25">
      <c r="A30" s="312" t="str">
        <f>IF($C$16="Salaire horaire","Supplément de vacances","")</f>
        <v/>
      </c>
      <c r="B30" s="270" t="str">
        <f>IF(A30="Supplément de vacances","CHF"," ")</f>
        <v xml:space="preserve"> </v>
      </c>
      <c r="C30" s="237">
        <f t="shared" ref="C30:H30" si="14">IF($C$16="Salaire horaire",(ROUND(IF(OR((DATEDIF($F$7,C$21,"Y")&lt;20),(DATEDIF($F$7,C$21,"Y")&gt;49)),(C$27+C$29)*10.64%,(C$27+C$29)*8.33%),2)),)</f>
        <v>0</v>
      </c>
      <c r="D30" s="237">
        <f t="shared" si="14"/>
        <v>0</v>
      </c>
      <c r="E30" s="237">
        <f t="shared" si="14"/>
        <v>0</v>
      </c>
      <c r="F30" s="237">
        <f t="shared" si="14"/>
        <v>0</v>
      </c>
      <c r="G30" s="237">
        <f t="shared" si="14"/>
        <v>0</v>
      </c>
      <c r="H30" s="238">
        <f t="shared" si="14"/>
        <v>0</v>
      </c>
      <c r="I30" s="312" t="str">
        <f t="shared" si="7"/>
        <v/>
      </c>
      <c r="J30" s="270" t="str">
        <f>IF(I30="Ferienzuschlag","CHF"," ")</f>
        <v xml:space="preserve"> </v>
      </c>
      <c r="K30" s="237">
        <f t="shared" ref="K30:P30" si="15">IF($C$16="Salaire horaire",(ROUND(IF(OR((DATEDIF($F$7,K$21,"Y")&lt;20),(DATEDIF($F$7,K$21,"Y")&gt;49)),(K$27+K$29)*10.64%,(K$27+K$29)*8.33%),2)),)</f>
        <v>0</v>
      </c>
      <c r="L30" s="237">
        <f t="shared" si="15"/>
        <v>0</v>
      </c>
      <c r="M30" s="237">
        <f t="shared" si="15"/>
        <v>0</v>
      </c>
      <c r="N30" s="237">
        <f t="shared" si="15"/>
        <v>0</v>
      </c>
      <c r="O30" s="237">
        <f t="shared" si="15"/>
        <v>0</v>
      </c>
      <c r="P30" s="238">
        <f t="shared" si="15"/>
        <v>0</v>
      </c>
      <c r="Q30" s="304">
        <f t="shared" si="9"/>
        <v>0</v>
      </c>
      <c r="R30" s="65"/>
      <c r="S30" s="481"/>
      <c r="T30" s="482"/>
      <c r="U30" s="483"/>
      <c r="V30" s="370"/>
      <c r="W30" s="65"/>
      <c r="X30" s="103"/>
      <c r="Y30" s="98"/>
      <c r="Z30" s="59"/>
      <c r="AA30" s="59"/>
      <c r="AB30" s="59"/>
      <c r="AC30" s="59"/>
      <c r="AD30" s="59"/>
      <c r="AE30" s="59"/>
      <c r="AF30" s="59"/>
    </row>
    <row r="31" spans="1:37" s="6" customFormat="1" x14ac:dyDescent="0.25">
      <c r="A31" s="313" t="s">
        <v>135</v>
      </c>
      <c r="B31" s="271" t="s">
        <v>136</v>
      </c>
      <c r="C31" s="382"/>
      <c r="D31" s="384"/>
      <c r="E31" s="384"/>
      <c r="F31" s="384"/>
      <c r="G31" s="384"/>
      <c r="H31" s="383"/>
      <c r="I31" s="313" t="str">
        <f t="shared" si="7"/>
        <v>Repas &amp; logement</v>
      </c>
      <c r="J31" s="271" t="s">
        <v>136</v>
      </c>
      <c r="K31" s="382"/>
      <c r="L31" s="382"/>
      <c r="M31" s="382"/>
      <c r="N31" s="382"/>
      <c r="O31" s="382"/>
      <c r="P31" s="383"/>
      <c r="Q31" s="83">
        <f t="shared" si="9"/>
        <v>0</v>
      </c>
      <c r="R31" s="65"/>
      <c r="S31" s="470">
        <f>IF(AND(M7+M13&gt;8,T11=0),"Remarque: à partir de 8 heures de travail effectives par semaine, l’employé doit avoir souscrit une assurance-accidents non professionnels!",0)</f>
        <v>0</v>
      </c>
      <c r="T31" s="471"/>
      <c r="U31" s="472"/>
      <c r="V31" s="369"/>
      <c r="W31" s="2"/>
      <c r="X31" s="103"/>
      <c r="Y31" s="98"/>
      <c r="Z31" s="59"/>
      <c r="AA31" s="59"/>
      <c r="AB31" s="59"/>
      <c r="AC31" s="59"/>
      <c r="AD31" s="59"/>
      <c r="AE31" s="59"/>
      <c r="AF31" s="59"/>
    </row>
    <row r="32" spans="1:37" s="6" customFormat="1" ht="34.5" x14ac:dyDescent="0.25">
      <c r="A32" s="313" t="s">
        <v>137</v>
      </c>
      <c r="B32" s="272" t="s">
        <v>136</v>
      </c>
      <c r="C32" s="382"/>
      <c r="D32" s="384"/>
      <c r="E32" s="384"/>
      <c r="F32" s="384"/>
      <c r="G32" s="384"/>
      <c r="H32" s="385"/>
      <c r="I32" s="313" t="str">
        <f t="shared" si="7"/>
        <v>Oblig. de verser le salaire (art. 324a CO) (soumis à l'AVS)</v>
      </c>
      <c r="J32" s="272" t="s">
        <v>136</v>
      </c>
      <c r="K32" s="384"/>
      <c r="L32" s="384"/>
      <c r="M32" s="384"/>
      <c r="N32" s="386"/>
      <c r="O32" s="384"/>
      <c r="P32" s="385"/>
      <c r="Q32" s="70">
        <f t="shared" si="9"/>
        <v>0</v>
      </c>
      <c r="R32" s="65"/>
      <c r="S32" s="470"/>
      <c r="T32" s="471"/>
      <c r="U32" s="472"/>
      <c r="V32" s="369"/>
      <c r="W32" s="2">
        <f>IF(S31&gt;1,1,0)</f>
        <v>0</v>
      </c>
      <c r="X32" s="103"/>
      <c r="Y32" s="98"/>
      <c r="Z32" s="59"/>
      <c r="AA32" s="59"/>
      <c r="AB32" s="59"/>
      <c r="AC32" s="59"/>
      <c r="AD32" s="59"/>
      <c r="AE32" s="59"/>
      <c r="AF32" s="59"/>
      <c r="AK32" s="104"/>
    </row>
    <row r="33" spans="1:37" s="6" customFormat="1" ht="23" x14ac:dyDescent="0.25">
      <c r="A33" s="313" t="s">
        <v>138</v>
      </c>
      <c r="B33" s="272" t="s">
        <v>136</v>
      </c>
      <c r="C33" s="382"/>
      <c r="D33" s="384"/>
      <c r="E33" s="384"/>
      <c r="F33" s="384"/>
      <c r="G33" s="384"/>
      <c r="H33" s="385"/>
      <c r="I33" s="313" t="str">
        <f t="shared" si="7"/>
        <v>Oblig. de verser le salaire
(soumis à l'AVS)</v>
      </c>
      <c r="J33" s="272" t="s">
        <v>136</v>
      </c>
      <c r="K33" s="384"/>
      <c r="L33" s="384"/>
      <c r="M33" s="384"/>
      <c r="N33" s="386"/>
      <c r="O33" s="384"/>
      <c r="P33" s="385"/>
      <c r="Q33" s="70">
        <f t="shared" si="9"/>
        <v>0</v>
      </c>
      <c r="R33" s="65"/>
      <c r="S33" s="470">
        <f>IF(DATEDIF($F$7,C21,"Y")&lt;17,0,IF($C$67="oui",0,IF(AND(U2&gt;Grundlagen!$B$8-0.01,SUM(T15:T16)=0),"Remarque: si le salaire annuel brut AVS dépasse " &amp; Grundlagen!$B$8 &amp;" la personne doit être impérativement assurée auprès d’une institution de prévoyance professionnelle!",0)))</f>
        <v>0</v>
      </c>
      <c r="T33" s="471"/>
      <c r="U33" s="472"/>
      <c r="V33" s="369"/>
      <c r="W33" s="65"/>
      <c r="X33" s="103"/>
      <c r="Y33" s="98"/>
      <c r="Z33" s="59"/>
      <c r="AA33" s="59"/>
      <c r="AB33" s="59"/>
      <c r="AC33" s="59"/>
      <c r="AD33" s="59"/>
      <c r="AE33" s="59"/>
      <c r="AF33" s="59"/>
      <c r="AK33" s="104"/>
    </row>
    <row r="34" spans="1:37" s="6" customFormat="1" ht="23" x14ac:dyDescent="0.25">
      <c r="A34" s="314" t="s">
        <v>139</v>
      </c>
      <c r="B34" s="273" t="s">
        <v>136</v>
      </c>
      <c r="C34" s="382"/>
      <c r="D34" s="384"/>
      <c r="E34" s="384"/>
      <c r="F34" s="384"/>
      <c r="G34" s="384"/>
      <c r="H34" s="385"/>
      <c r="I34" s="314" t="str">
        <f t="shared" si="7"/>
        <v>Allocation maternité / militaire (soumis à l'AVS)</v>
      </c>
      <c r="J34" s="273" t="s">
        <v>136</v>
      </c>
      <c r="K34" s="384"/>
      <c r="L34" s="384"/>
      <c r="M34" s="384"/>
      <c r="N34" s="386"/>
      <c r="O34" s="384"/>
      <c r="P34" s="385"/>
      <c r="Q34" s="70">
        <f t="shared" si="9"/>
        <v>0</v>
      </c>
      <c r="R34" s="57"/>
      <c r="S34" s="470"/>
      <c r="T34" s="471"/>
      <c r="U34" s="472"/>
      <c r="V34" s="369"/>
      <c r="W34" s="2">
        <f>IF(S33&gt;1,1,0)</f>
        <v>0</v>
      </c>
      <c r="X34" s="101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</row>
    <row r="35" spans="1:37" s="2" customFormat="1" ht="23" x14ac:dyDescent="0.25">
      <c r="A35" s="314" t="s">
        <v>140</v>
      </c>
      <c r="B35" s="273" t="s">
        <v>136</v>
      </c>
      <c r="C35" s="382"/>
      <c r="D35" s="384"/>
      <c r="E35" s="384"/>
      <c r="F35" s="384"/>
      <c r="G35" s="384"/>
      <c r="H35" s="385"/>
      <c r="I35" s="314" t="str">
        <f t="shared" si="7"/>
        <v>Indemnité d'assurance
(non soumis AVS)</v>
      </c>
      <c r="J35" s="273" t="s">
        <v>136</v>
      </c>
      <c r="K35" s="384"/>
      <c r="L35" s="384"/>
      <c r="M35" s="384"/>
      <c r="N35" s="386"/>
      <c r="O35" s="384"/>
      <c r="P35" s="385"/>
      <c r="Q35" s="70">
        <f t="shared" si="9"/>
        <v>0</v>
      </c>
      <c r="R35" s="57"/>
      <c r="S35" s="470"/>
      <c r="T35" s="471"/>
      <c r="U35" s="472"/>
      <c r="V35" s="369"/>
      <c r="W35" s="57"/>
      <c r="X35" s="101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</row>
    <row r="36" spans="1:37" s="2" customFormat="1" ht="15" customHeight="1" x14ac:dyDescent="0.25">
      <c r="A36" s="312" t="s">
        <v>141</v>
      </c>
      <c r="B36" s="271" t="s">
        <v>136</v>
      </c>
      <c r="C36" s="382"/>
      <c r="D36" s="384"/>
      <c r="E36" s="384"/>
      <c r="F36" s="384"/>
      <c r="G36" s="384"/>
      <c r="H36" s="385"/>
      <c r="I36" s="312" t="str">
        <f t="shared" si="7"/>
        <v>Allocations familiales</v>
      </c>
      <c r="J36" s="271" t="s">
        <v>136</v>
      </c>
      <c r="K36" s="384"/>
      <c r="L36" s="384"/>
      <c r="M36" s="384"/>
      <c r="N36" s="386"/>
      <c r="O36" s="384"/>
      <c r="P36" s="385"/>
      <c r="Q36" s="70">
        <f t="shared" si="9"/>
        <v>0</v>
      </c>
      <c r="R36" s="57"/>
      <c r="S36" s="470">
        <f>IF(M8="",0,IF($C$16="Salaire horaire",(IF(AC6="non",IF(AND(AC6="non",AD7="oui"),0,"ATTENTION: le modèle bernois reconnaît un salaire horaire minimum de CHF 21.60 et maximum de CHF 56.50 pour les personnes autres que les proches."),IF(AND(AC6="oui",AD6="oui"),0,"ATTENTION: le modèle bernois reconnaît un salaire horaire minimum de CHF 21.60 pour les proches."))),(IF(AC6="non",IF(AND(AC6="non",AD7="oui"),(IF(AD8="oui","ATTENTION: pour les personnes autres que les proches, le modèle bernois reconnaît un salaire mensuel maximum de CHF 9'500 + 13e salaire ou de CHF 10'290 sans 13e salaire. Veuillez contrôler le taux d’occupation.",0)),"ATTENTION: pour les personnes autres que les proches, le modèle bernois reconnaît un salaire mensuel minimum de CHF 3'630 + 13e salaire ou de CHF 3'930 sans 13e salaire. Veuillez contrôler le taux d’occupation."),IF(AND(AC6="oui",AD6="oui"),0,"ATTENTION: pour les proches, le modèle bernois reconnaît un salaire mensuel de CHF 3'630 + 13e salaire ou de CHF 3'930 sans 13e salaire. Veuillez contrôler le taux d’occupation.")))))</f>
        <v>0</v>
      </c>
      <c r="T36" s="471"/>
      <c r="U36" s="472"/>
      <c r="V36" s="369"/>
      <c r="W36" s="57"/>
      <c r="X36" s="105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</row>
    <row r="37" spans="1:37" s="2" customFormat="1" ht="15" customHeight="1" x14ac:dyDescent="0.25">
      <c r="A37" s="315" t="s">
        <v>142</v>
      </c>
      <c r="B37" s="274" t="s">
        <v>136</v>
      </c>
      <c r="C37" s="291">
        <f t="shared" ref="C37:H37" si="16">MROUND(IF($C$16="Salaire horaire",SUM(C27,C29,C30,C31,C32,C33,C34,C35,C36),SUM(C22,C23,C30,C31,C32,C33,C34,C35,C36)),0.05)</f>
        <v>0</v>
      </c>
      <c r="D37" s="291">
        <f t="shared" si="16"/>
        <v>0</v>
      </c>
      <c r="E37" s="291">
        <f t="shared" si="16"/>
        <v>0</v>
      </c>
      <c r="F37" s="291">
        <f t="shared" si="16"/>
        <v>0</v>
      </c>
      <c r="G37" s="291">
        <f t="shared" si="16"/>
        <v>0</v>
      </c>
      <c r="H37" s="242">
        <f t="shared" si="16"/>
        <v>0</v>
      </c>
      <c r="I37" s="315" t="str">
        <f t="shared" si="7"/>
        <v>Salaire brut</v>
      </c>
      <c r="J37" s="274" t="s">
        <v>136</v>
      </c>
      <c r="K37" s="291">
        <f t="shared" ref="K37:P37" si="17">MROUND(IF($C$16="Salaire horaire",SUM(K27,K29,K30,K31,K32,K33,K34,K35,K36),SUM(K22,K23,K30,K31,K32,K33,K34,K35,K36)),0.05)</f>
        <v>0</v>
      </c>
      <c r="L37" s="291">
        <f t="shared" si="17"/>
        <v>0</v>
      </c>
      <c r="M37" s="291">
        <f t="shared" si="17"/>
        <v>0</v>
      </c>
      <c r="N37" s="291">
        <f t="shared" si="17"/>
        <v>0</v>
      </c>
      <c r="O37" s="291">
        <f t="shared" si="17"/>
        <v>0</v>
      </c>
      <c r="P37" s="242">
        <f t="shared" si="17"/>
        <v>0</v>
      </c>
      <c r="Q37" s="242">
        <f t="shared" si="9"/>
        <v>0</v>
      </c>
      <c r="R37" s="57"/>
      <c r="S37" s="470"/>
      <c r="T37" s="471"/>
      <c r="U37" s="472"/>
      <c r="V37" s="369"/>
      <c r="W37" s="2">
        <f>IF(S36&gt;1,5,0)</f>
        <v>0</v>
      </c>
      <c r="X37" s="101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</row>
    <row r="38" spans="1:37" s="2" customFormat="1" ht="15" customHeight="1" x14ac:dyDescent="0.25">
      <c r="A38" s="312" t="s">
        <v>143</v>
      </c>
      <c r="B38" s="275" t="s">
        <v>136</v>
      </c>
      <c r="C38" s="404">
        <f>C$80</f>
        <v>0</v>
      </c>
      <c r="D38" s="404">
        <f t="shared" ref="D38:H38" si="18">D$80</f>
        <v>0</v>
      </c>
      <c r="E38" s="404">
        <f t="shared" si="18"/>
        <v>0</v>
      </c>
      <c r="F38" s="404">
        <f t="shared" si="18"/>
        <v>0</v>
      </c>
      <c r="G38" s="404">
        <f t="shared" si="18"/>
        <v>0</v>
      </c>
      <c r="H38" s="405">
        <f t="shared" si="18"/>
        <v>0</v>
      </c>
      <c r="I38" s="312" t="str">
        <f t="shared" si="7"/>
        <v>Franchise rentier AVS</v>
      </c>
      <c r="J38" s="275" t="s">
        <v>136</v>
      </c>
      <c r="K38" s="404">
        <f>K$80</f>
        <v>0</v>
      </c>
      <c r="L38" s="404">
        <f t="shared" ref="L38:P38" si="19">L$80</f>
        <v>0</v>
      </c>
      <c r="M38" s="404">
        <f t="shared" si="19"/>
        <v>0</v>
      </c>
      <c r="N38" s="404">
        <f t="shared" si="19"/>
        <v>0</v>
      </c>
      <c r="O38" s="404">
        <f t="shared" si="19"/>
        <v>0</v>
      </c>
      <c r="P38" s="405">
        <f t="shared" si="19"/>
        <v>0</v>
      </c>
      <c r="Q38" s="307">
        <f>SUM(C38:H38)+SUM(K38:P38)</f>
        <v>0</v>
      </c>
      <c r="R38" s="57"/>
      <c r="S38" s="470"/>
      <c r="T38" s="471"/>
      <c r="U38" s="472"/>
      <c r="V38" s="369"/>
      <c r="W38" s="57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</row>
    <row r="39" spans="1:37" s="6" customFormat="1" ht="15" customHeight="1" x14ac:dyDescent="0.25">
      <c r="A39" s="315" t="s">
        <v>144</v>
      </c>
      <c r="B39" s="274" t="s">
        <v>136</v>
      </c>
      <c r="C39" s="291">
        <f>C37-C36-C35-C38</f>
        <v>0</v>
      </c>
      <c r="D39" s="291">
        <f t="shared" ref="D39:H39" si="20">D37-D36-D35-D38</f>
        <v>0</v>
      </c>
      <c r="E39" s="291">
        <f t="shared" si="20"/>
        <v>0</v>
      </c>
      <c r="F39" s="291">
        <f t="shared" si="20"/>
        <v>0</v>
      </c>
      <c r="G39" s="291">
        <f t="shared" si="20"/>
        <v>0</v>
      </c>
      <c r="H39" s="242">
        <f t="shared" si="20"/>
        <v>0</v>
      </c>
      <c r="I39" s="315" t="str">
        <f t="shared" si="7"/>
        <v>AVS montant brut</v>
      </c>
      <c r="J39" s="274" t="s">
        <v>136</v>
      </c>
      <c r="K39" s="291">
        <f t="shared" ref="K39:P39" si="21">K37-K36-K35-K38</f>
        <v>0</v>
      </c>
      <c r="L39" s="291">
        <f t="shared" si="21"/>
        <v>0</v>
      </c>
      <c r="M39" s="291">
        <f t="shared" si="21"/>
        <v>0</v>
      </c>
      <c r="N39" s="306">
        <f t="shared" si="21"/>
        <v>0</v>
      </c>
      <c r="O39" s="291">
        <f t="shared" si="21"/>
        <v>0</v>
      </c>
      <c r="P39" s="242">
        <f t="shared" si="21"/>
        <v>0</v>
      </c>
      <c r="Q39" s="242">
        <f>ROUND((SUM(C39:H39)+SUM(K39:P39))*20,0)/20</f>
        <v>0</v>
      </c>
      <c r="R39" s="79"/>
      <c r="S39" s="470"/>
      <c r="T39" s="471"/>
      <c r="U39" s="472"/>
      <c r="V39" s="369"/>
      <c r="W39" s="79"/>
      <c r="X39" s="2"/>
      <c r="Y39" s="106"/>
      <c r="Z39" s="106"/>
      <c r="AA39" s="106"/>
      <c r="AB39" s="106"/>
      <c r="AC39" s="106"/>
      <c r="AD39" s="106"/>
      <c r="AE39" s="64"/>
      <c r="AF39" s="64"/>
    </row>
    <row r="40" spans="1:37" s="2" customFormat="1" ht="15" customHeight="1" thickBot="1" x14ac:dyDescent="0.3">
      <c r="A40" s="312" t="str">
        <f>CONCATENATE("AVS/AI/APG ",T8*100,"%")</f>
        <v>AVS/AI/APG 0%</v>
      </c>
      <c r="B40" s="276" t="s">
        <v>136</v>
      </c>
      <c r="C40" s="234">
        <f>C$39*-$T$8</f>
        <v>0</v>
      </c>
      <c r="D40" s="234">
        <f t="shared" ref="D40:H40" si="22">D$39*-$T$8</f>
        <v>0</v>
      </c>
      <c r="E40" s="234">
        <f t="shared" si="22"/>
        <v>0</v>
      </c>
      <c r="F40" s="234">
        <f t="shared" si="22"/>
        <v>0</v>
      </c>
      <c r="G40" s="234">
        <f t="shared" si="22"/>
        <v>0</v>
      </c>
      <c r="H40" s="235">
        <f t="shared" si="22"/>
        <v>0</v>
      </c>
      <c r="I40" s="327" t="str">
        <f t="shared" si="7"/>
        <v>AVS/AI/APG 0%</v>
      </c>
      <c r="J40" s="276" t="s">
        <v>136</v>
      </c>
      <c r="K40" s="234">
        <f t="shared" ref="K40:P40" si="23">K$39*-$T$8</f>
        <v>0</v>
      </c>
      <c r="L40" s="234">
        <f t="shared" si="23"/>
        <v>0</v>
      </c>
      <c r="M40" s="234">
        <f t="shared" si="23"/>
        <v>0</v>
      </c>
      <c r="N40" s="236">
        <f t="shared" si="23"/>
        <v>0</v>
      </c>
      <c r="O40" s="234">
        <f t="shared" si="23"/>
        <v>0</v>
      </c>
      <c r="P40" s="235">
        <f t="shared" si="23"/>
        <v>0</v>
      </c>
      <c r="Q40" s="239">
        <f t="shared" ref="Q40:Q48" si="24">ROUND((SUM(C40:H40)+SUM(K40:P40))*20,0)/20</f>
        <v>0</v>
      </c>
      <c r="R40" s="65"/>
      <c r="S40" s="470"/>
      <c r="T40" s="471"/>
      <c r="U40" s="472"/>
      <c r="V40" s="369"/>
      <c r="W40" s="65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</row>
    <row r="41" spans="1:37" s="6" customFormat="1" ht="15" customHeight="1" x14ac:dyDescent="0.25">
      <c r="A41" s="312" t="str">
        <f>CONCATENATE("AC ",T9*100,"%")</f>
        <v>AC 0%</v>
      </c>
      <c r="B41" s="271" t="s">
        <v>136</v>
      </c>
      <c r="C41" s="237">
        <f>IF(C$38&lt;&gt;0,0,C$39*$T$9*-1)</f>
        <v>0</v>
      </c>
      <c r="D41" s="237">
        <f t="shared" ref="D41:H41" si="25">IF(D$38&lt;&gt;0,0,D$39*$T$9*-1)</f>
        <v>0</v>
      </c>
      <c r="E41" s="237">
        <f t="shared" si="25"/>
        <v>0</v>
      </c>
      <c r="F41" s="237">
        <f t="shared" si="25"/>
        <v>0</v>
      </c>
      <c r="G41" s="237">
        <f t="shared" si="25"/>
        <v>0</v>
      </c>
      <c r="H41" s="238">
        <f t="shared" si="25"/>
        <v>0</v>
      </c>
      <c r="I41" s="327" t="str">
        <f t="shared" si="7"/>
        <v>AC 0%</v>
      </c>
      <c r="J41" s="271" t="s">
        <v>136</v>
      </c>
      <c r="K41" s="237">
        <f>IF(K$38&lt;&gt;0,0,K$39*$T$9*-1)</f>
        <v>0</v>
      </c>
      <c r="L41" s="237">
        <f t="shared" ref="L41:P41" si="26">IF(L$38&lt;&gt;0,0,L$39*$T$9*-1)</f>
        <v>0</v>
      </c>
      <c r="M41" s="237">
        <f t="shared" si="26"/>
        <v>0</v>
      </c>
      <c r="N41" s="237">
        <f t="shared" si="26"/>
        <v>0</v>
      </c>
      <c r="O41" s="237">
        <f t="shared" si="26"/>
        <v>0</v>
      </c>
      <c r="P41" s="238">
        <f t="shared" si="26"/>
        <v>0</v>
      </c>
      <c r="Q41" s="240">
        <f t="shared" si="24"/>
        <v>0</v>
      </c>
      <c r="R41" s="79"/>
      <c r="S41" s="487"/>
      <c r="T41" s="487"/>
      <c r="U41" s="487"/>
      <c r="V41" s="65"/>
      <c r="X41" s="2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</row>
    <row r="42" spans="1:37" s="2" customFormat="1" ht="15" customHeight="1" x14ac:dyDescent="0.25">
      <c r="A42" s="312" t="str">
        <f>IF(T11&lt;0.01,"ANP",(CONCATENATE("ANP ",T11*100,"%")))</f>
        <v>ANP</v>
      </c>
      <c r="B42" s="271" t="s">
        <v>136</v>
      </c>
      <c r="C42" s="382">
        <f t="shared" ref="C42:H42" si="27">(C$37-C$34-C$35-C$36)*-$T$11</f>
        <v>0</v>
      </c>
      <c r="D42" s="382">
        <f t="shared" si="27"/>
        <v>0</v>
      </c>
      <c r="E42" s="382">
        <f t="shared" si="27"/>
        <v>0</v>
      </c>
      <c r="F42" s="382">
        <f t="shared" si="27"/>
        <v>0</v>
      </c>
      <c r="G42" s="382">
        <f t="shared" si="27"/>
        <v>0</v>
      </c>
      <c r="H42" s="383">
        <f t="shared" si="27"/>
        <v>0</v>
      </c>
      <c r="I42" s="327" t="str">
        <f t="shared" si="7"/>
        <v>ANP</v>
      </c>
      <c r="J42" s="271" t="s">
        <v>136</v>
      </c>
      <c r="K42" s="382">
        <f t="shared" ref="K42:P42" si="28">(K$37-K$34-K$35-K$36)*-$T$11</f>
        <v>0</v>
      </c>
      <c r="L42" s="382">
        <f t="shared" si="28"/>
        <v>0</v>
      </c>
      <c r="M42" s="382">
        <f t="shared" si="28"/>
        <v>0</v>
      </c>
      <c r="N42" s="386">
        <f t="shared" si="28"/>
        <v>0</v>
      </c>
      <c r="O42" s="382">
        <f t="shared" si="28"/>
        <v>0</v>
      </c>
      <c r="P42" s="383">
        <f t="shared" si="28"/>
        <v>0</v>
      </c>
      <c r="Q42" s="240">
        <f t="shared" si="24"/>
        <v>0</v>
      </c>
      <c r="R42" s="65"/>
      <c r="S42" s="488"/>
      <c r="T42" s="488"/>
      <c r="U42" s="488"/>
      <c r="V42" s="79"/>
      <c r="W42" s="2">
        <f>IF(S41&gt;1,1,0)</f>
        <v>0</v>
      </c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</row>
    <row r="43" spans="1:37" s="2" customFormat="1" ht="15" customHeight="1" x14ac:dyDescent="0.25">
      <c r="A43" s="312" t="str">
        <f>IF(T13&lt;0.0000001,"IJM",(CONCATENATE("IJM ",T13*100,"%")))</f>
        <v>IJM</v>
      </c>
      <c r="B43" s="271" t="s">
        <v>136</v>
      </c>
      <c r="C43" s="382">
        <f t="shared" ref="C43:H43" si="29">(C$37-C$34-C$35-C$36)*-$T$13</f>
        <v>0</v>
      </c>
      <c r="D43" s="382">
        <f t="shared" si="29"/>
        <v>0</v>
      </c>
      <c r="E43" s="382">
        <f t="shared" si="29"/>
        <v>0</v>
      </c>
      <c r="F43" s="382">
        <f t="shared" si="29"/>
        <v>0</v>
      </c>
      <c r="G43" s="382">
        <f t="shared" si="29"/>
        <v>0</v>
      </c>
      <c r="H43" s="383">
        <f t="shared" si="29"/>
        <v>0</v>
      </c>
      <c r="I43" s="327" t="str">
        <f t="shared" si="7"/>
        <v>IJM</v>
      </c>
      <c r="J43" s="271" t="s">
        <v>136</v>
      </c>
      <c r="K43" s="382">
        <f t="shared" ref="K43:P43" si="30">(K$37-K$34-K$35-K$36)*-$T$13</f>
        <v>0</v>
      </c>
      <c r="L43" s="382">
        <f t="shared" si="30"/>
        <v>0</v>
      </c>
      <c r="M43" s="382">
        <f t="shared" si="30"/>
        <v>0</v>
      </c>
      <c r="N43" s="386">
        <f t="shared" si="30"/>
        <v>0</v>
      </c>
      <c r="O43" s="382">
        <f t="shared" si="30"/>
        <v>0</v>
      </c>
      <c r="P43" s="383">
        <f t="shared" si="30"/>
        <v>0</v>
      </c>
      <c r="Q43" s="240">
        <f t="shared" si="24"/>
        <v>0</v>
      </c>
      <c r="R43" s="65"/>
      <c r="S43" s="488"/>
      <c r="T43" s="488"/>
      <c r="U43" s="488"/>
      <c r="V43" s="65"/>
      <c r="W43" s="65"/>
      <c r="X43" s="101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245"/>
    </row>
    <row r="44" spans="1:37" s="2" customFormat="1" ht="15" customHeight="1" x14ac:dyDescent="0.25">
      <c r="A44" s="312" t="str">
        <f>IF(T16&gt;0.01%,(CONCATENATE("LPP ",T16*100,"%")),IF(T15&lt;0.01,"LPP",(CONCATENATE("LPP ","CHF ",T15))))</f>
        <v>LPP</v>
      </c>
      <c r="B44" s="271" t="s">
        <v>136</v>
      </c>
      <c r="C44" s="382">
        <f t="shared" ref="C44:H44" si="31">IF(OR(C$39=0,C$67="oui",DATEDIF($F$7,$A$21,"Y")&lt;18),0,IF($T$16&gt;0.1%,-$T$16*C$39,-$T$15))</f>
        <v>0</v>
      </c>
      <c r="D44" s="382">
        <f t="shared" si="31"/>
        <v>0</v>
      </c>
      <c r="E44" s="382">
        <f t="shared" si="31"/>
        <v>0</v>
      </c>
      <c r="F44" s="382">
        <f t="shared" si="31"/>
        <v>0</v>
      </c>
      <c r="G44" s="382">
        <f t="shared" si="31"/>
        <v>0</v>
      </c>
      <c r="H44" s="383">
        <f t="shared" si="31"/>
        <v>0</v>
      </c>
      <c r="I44" s="327" t="str">
        <f t="shared" si="7"/>
        <v>LPP</v>
      </c>
      <c r="J44" s="271" t="s">
        <v>136</v>
      </c>
      <c r="K44" s="382">
        <f t="shared" ref="K44:P44" si="32">IF(OR(K$39=0,K$67="oui",DATEDIF($F$7,$A$21,"Y")&lt;18),0,IF($T$16&gt;0.1%,-$T$16*K$39,-$T$15))</f>
        <v>0</v>
      </c>
      <c r="L44" s="382">
        <f t="shared" si="32"/>
        <v>0</v>
      </c>
      <c r="M44" s="382">
        <f t="shared" si="32"/>
        <v>0</v>
      </c>
      <c r="N44" s="382">
        <f t="shared" si="32"/>
        <v>0</v>
      </c>
      <c r="O44" s="382">
        <f t="shared" si="32"/>
        <v>0</v>
      </c>
      <c r="P44" s="383">
        <f t="shared" si="32"/>
        <v>0</v>
      </c>
      <c r="Q44" s="240">
        <f t="shared" si="24"/>
        <v>0</v>
      </c>
      <c r="R44" s="65"/>
      <c r="S44" s="65"/>
      <c r="T44" s="65"/>
      <c r="U44" s="65"/>
      <c r="V44" s="65"/>
      <c r="W44" s="101"/>
      <c r="X44" s="59"/>
      <c r="Y44" s="59"/>
      <c r="Z44" s="59"/>
      <c r="AA44" s="59"/>
      <c r="AB44" s="59"/>
      <c r="AC44" s="59"/>
      <c r="AD44" s="59"/>
      <c r="AE44" s="59"/>
    </row>
    <row r="45" spans="1:37" s="2" customFormat="1" ht="15" customHeight="1" x14ac:dyDescent="0.25">
      <c r="A45" s="312" t="str">
        <f>IF(G13="à choisir","",IF(OR(Y9&lt;5%,G13="ordinaire",)," ",(CONCATENATE("Impôt selon LTN ",Y9*100,"%"))))</f>
        <v/>
      </c>
      <c r="B45" s="270" t="str">
        <f>IF(A45="Impôt selon LTN 5%","CHF"," ")</f>
        <v xml:space="preserve"> </v>
      </c>
      <c r="C45" s="382">
        <f t="shared" ref="C45:H45" si="33">IF(C39+C38=0,0,IF(C$67="no",C39*-$Y$9,IF(AND(C38&gt;1),(C39+C38)*-$Y$9,C39*-$Y$9)))</f>
        <v>0</v>
      </c>
      <c r="D45" s="382">
        <f t="shared" si="33"/>
        <v>0</v>
      </c>
      <c r="E45" s="382">
        <f t="shared" si="33"/>
        <v>0</v>
      </c>
      <c r="F45" s="382">
        <f t="shared" si="33"/>
        <v>0</v>
      </c>
      <c r="G45" s="382">
        <f t="shared" si="33"/>
        <v>0</v>
      </c>
      <c r="H45" s="383">
        <f t="shared" si="33"/>
        <v>0</v>
      </c>
      <c r="I45" s="312" t="str">
        <f t="shared" si="7"/>
        <v/>
      </c>
      <c r="J45" s="270" t="str">
        <f>IF(I45="QST gem. BGSA 5%","CHF"," ")</f>
        <v xml:space="preserve"> </v>
      </c>
      <c r="K45" s="382">
        <f t="shared" ref="K45:P45" si="34">IF(K39+K38=0,0,IF(K$67="no",K39*-$Y$9,IF(AND(K38&gt;1),(K39+K38)*-$Y$9,K39*-$Y$9)))</f>
        <v>0</v>
      </c>
      <c r="L45" s="382">
        <f t="shared" si="34"/>
        <v>0</v>
      </c>
      <c r="M45" s="382">
        <f t="shared" si="34"/>
        <v>0</v>
      </c>
      <c r="N45" s="382">
        <f t="shared" si="34"/>
        <v>0</v>
      </c>
      <c r="O45" s="382">
        <f t="shared" si="34"/>
        <v>0</v>
      </c>
      <c r="P45" s="383">
        <f t="shared" si="34"/>
        <v>0</v>
      </c>
      <c r="Q45" s="304">
        <f>ROUND((SUM(C45:H45)+SUM(K45:P45))*20,0)/20</f>
        <v>0</v>
      </c>
      <c r="R45" s="65"/>
      <c r="S45" s="65"/>
      <c r="T45" s="65"/>
      <c r="U45" s="65"/>
      <c r="V45" s="65"/>
      <c r="W45" s="79">
        <f>SUM(W21:W43)</f>
        <v>0</v>
      </c>
      <c r="X45" s="58"/>
      <c r="Y45" s="59"/>
      <c r="Z45" s="59"/>
      <c r="AA45" s="59"/>
      <c r="AB45" s="59"/>
      <c r="AC45" s="59"/>
      <c r="AD45" s="59"/>
      <c r="AE45" s="59"/>
    </row>
    <row r="46" spans="1:37" s="2" customFormat="1" ht="15" customHeight="1" x14ac:dyDescent="0.25">
      <c r="A46" s="312" t="str">
        <f>IF(G13="ordinaire","Impôt à la source","")</f>
        <v/>
      </c>
      <c r="B46" s="270" t="str">
        <f>IF(A46="Impôt à la source","CHF"," ")</f>
        <v xml:space="preserve"> </v>
      </c>
      <c r="C46" s="382"/>
      <c r="D46" s="382"/>
      <c r="E46" s="382"/>
      <c r="F46" s="382"/>
      <c r="G46" s="382"/>
      <c r="H46" s="385"/>
      <c r="I46" s="327" t="str">
        <f t="shared" si="7"/>
        <v/>
      </c>
      <c r="J46" s="270" t="str">
        <f>IF(I46="QST","CHF"," ")</f>
        <v xml:space="preserve"> </v>
      </c>
      <c r="K46" s="384"/>
      <c r="L46" s="384"/>
      <c r="M46" s="384"/>
      <c r="N46" s="386"/>
      <c r="O46" s="384"/>
      <c r="P46" s="385"/>
      <c r="Q46" s="70">
        <f t="shared" si="24"/>
        <v>0</v>
      </c>
      <c r="R46" s="65"/>
      <c r="S46" s="65"/>
      <c r="T46" s="65"/>
      <c r="U46" s="65"/>
      <c r="V46" s="65"/>
      <c r="W46" s="101"/>
      <c r="X46" s="59"/>
      <c r="Y46" s="59"/>
      <c r="Z46" s="59"/>
      <c r="AA46" s="59"/>
      <c r="AB46" s="59"/>
      <c r="AC46" s="59"/>
      <c r="AD46" s="59"/>
      <c r="AE46" s="59"/>
    </row>
    <row r="47" spans="1:37" s="2" customFormat="1" ht="15" customHeight="1" x14ac:dyDescent="0.25">
      <c r="A47" s="312" t="s">
        <v>145</v>
      </c>
      <c r="B47" s="271" t="s">
        <v>136</v>
      </c>
      <c r="C47" s="382"/>
      <c r="D47" s="384"/>
      <c r="E47" s="384"/>
      <c r="F47" s="384"/>
      <c r="G47" s="384"/>
      <c r="H47" s="385"/>
      <c r="I47" s="327" t="str">
        <f t="shared" si="7"/>
        <v>Frais effectifs</v>
      </c>
      <c r="J47" s="271" t="s">
        <v>136</v>
      </c>
      <c r="K47" s="384"/>
      <c r="L47" s="384"/>
      <c r="M47" s="384"/>
      <c r="N47" s="386"/>
      <c r="O47" s="384"/>
      <c r="P47" s="385"/>
      <c r="Q47" s="70">
        <f t="shared" si="24"/>
        <v>0</v>
      </c>
      <c r="R47" s="172"/>
      <c r="S47" s="65"/>
      <c r="T47" s="65"/>
      <c r="U47" s="65"/>
      <c r="V47" s="172"/>
      <c r="W47" s="101"/>
      <c r="X47" s="58"/>
      <c r="Y47" s="59"/>
      <c r="Z47" s="59"/>
      <c r="AA47" s="59"/>
      <c r="AB47" s="59"/>
      <c r="AC47" s="59"/>
      <c r="AD47" s="59"/>
      <c r="AE47" s="59"/>
    </row>
    <row r="48" spans="1:37" s="2" customFormat="1" ht="15" customHeight="1" x14ac:dyDescent="0.25">
      <c r="A48" s="316" t="s">
        <v>135</v>
      </c>
      <c r="B48" s="275" t="s">
        <v>136</v>
      </c>
      <c r="C48" s="382">
        <f>-C31</f>
        <v>0</v>
      </c>
      <c r="D48" s="384">
        <f t="shared" ref="D48:H48" si="35">-D31</f>
        <v>0</v>
      </c>
      <c r="E48" s="384">
        <f t="shared" si="35"/>
        <v>0</v>
      </c>
      <c r="F48" s="384">
        <f t="shared" si="35"/>
        <v>0</v>
      </c>
      <c r="G48" s="384">
        <f t="shared" si="35"/>
        <v>0</v>
      </c>
      <c r="H48" s="385">
        <f t="shared" si="35"/>
        <v>0</v>
      </c>
      <c r="I48" s="328" t="str">
        <f t="shared" si="7"/>
        <v>Repas &amp; logement</v>
      </c>
      <c r="J48" s="275" t="s">
        <v>136</v>
      </c>
      <c r="K48" s="384">
        <f t="shared" ref="K48:P48" si="36">-K31</f>
        <v>0</v>
      </c>
      <c r="L48" s="384">
        <f t="shared" si="36"/>
        <v>0</v>
      </c>
      <c r="M48" s="384">
        <f t="shared" si="36"/>
        <v>0</v>
      </c>
      <c r="N48" s="386">
        <f t="shared" si="36"/>
        <v>0</v>
      </c>
      <c r="O48" s="384">
        <f t="shared" si="36"/>
        <v>0</v>
      </c>
      <c r="P48" s="385">
        <f t="shared" si="36"/>
        <v>0</v>
      </c>
      <c r="Q48" s="241">
        <f t="shared" si="24"/>
        <v>0</v>
      </c>
      <c r="R48" s="57"/>
      <c r="S48" s="172"/>
      <c r="T48" s="172"/>
      <c r="U48" s="172"/>
      <c r="V48" s="57"/>
      <c r="W48" s="101"/>
      <c r="X48" s="58"/>
      <c r="Y48" s="59"/>
      <c r="Z48" s="59"/>
      <c r="AA48" s="59"/>
      <c r="AB48" s="59"/>
      <c r="AC48" s="59"/>
      <c r="AD48" s="59"/>
      <c r="AE48" s="59"/>
    </row>
    <row r="49" spans="1:31" s="2" customFormat="1" ht="15" customHeight="1" x14ac:dyDescent="0.25">
      <c r="A49" s="335" t="s">
        <v>146</v>
      </c>
      <c r="B49" s="336" t="s">
        <v>136</v>
      </c>
      <c r="C49" s="331">
        <f>MROUND(C37+(SUM(C40:C46)+C47+C48),0.05)</f>
        <v>0</v>
      </c>
      <c r="D49" s="331">
        <f t="shared" ref="D49:H49" si="37">MROUND(D37+(SUM(D40:D46)+D47+D48),0.05)</f>
        <v>0</v>
      </c>
      <c r="E49" s="331">
        <f t="shared" si="37"/>
        <v>0</v>
      </c>
      <c r="F49" s="331">
        <f t="shared" si="37"/>
        <v>0</v>
      </c>
      <c r="G49" s="331">
        <f t="shared" si="37"/>
        <v>0</v>
      </c>
      <c r="H49" s="333">
        <f t="shared" si="37"/>
        <v>0</v>
      </c>
      <c r="I49" s="335" t="str">
        <f t="shared" si="7"/>
        <v>Salaire net</v>
      </c>
      <c r="J49" s="336" t="s">
        <v>136</v>
      </c>
      <c r="K49" s="331">
        <f t="shared" ref="K49:P49" si="38">MROUND(K37+(SUM(K40:K46)+K47+K48),0.05)</f>
        <v>0</v>
      </c>
      <c r="L49" s="331">
        <f t="shared" si="38"/>
        <v>0</v>
      </c>
      <c r="M49" s="331">
        <f t="shared" si="38"/>
        <v>0</v>
      </c>
      <c r="N49" s="331">
        <f t="shared" si="38"/>
        <v>0</v>
      </c>
      <c r="O49" s="331">
        <f t="shared" si="38"/>
        <v>0</v>
      </c>
      <c r="P49" s="333">
        <f t="shared" si="38"/>
        <v>0</v>
      </c>
      <c r="Q49" s="242">
        <f>SUM(C49:H49)+SUM(K49:P49)</f>
        <v>0</v>
      </c>
      <c r="R49" s="57"/>
      <c r="S49" s="57"/>
      <c r="T49" s="57"/>
      <c r="U49" s="57"/>
      <c r="V49" s="57"/>
      <c r="W49" s="101"/>
      <c r="X49" s="58"/>
      <c r="Y49" s="59"/>
      <c r="Z49" s="59"/>
      <c r="AA49" s="59"/>
      <c r="AB49" s="59"/>
      <c r="AC49" s="59"/>
      <c r="AD49" s="59"/>
      <c r="AE49" s="59"/>
    </row>
    <row r="50" spans="1:31" s="2" customFormat="1" ht="15" customHeight="1" x14ac:dyDescent="0.25">
      <c r="A50" s="337" t="s">
        <v>147</v>
      </c>
      <c r="B50" s="330" t="s">
        <v>136</v>
      </c>
      <c r="C50" s="382"/>
      <c r="D50" s="382"/>
      <c r="E50" s="382"/>
      <c r="F50" s="382"/>
      <c r="G50" s="382"/>
      <c r="H50" s="383"/>
      <c r="I50" s="337" t="str">
        <f t="shared" si="7"/>
        <v>Salaire net payé</v>
      </c>
      <c r="J50" s="330" t="s">
        <v>136</v>
      </c>
      <c r="K50" s="382"/>
      <c r="L50" s="382"/>
      <c r="M50" s="382"/>
      <c r="N50" s="382"/>
      <c r="O50" s="382"/>
      <c r="P50" s="383"/>
      <c r="Q50" s="309">
        <f>SUM(C50:H50)+SUM(K50:P50)</f>
        <v>0</v>
      </c>
      <c r="R50" s="57"/>
      <c r="S50" s="57"/>
      <c r="T50" s="57"/>
      <c r="U50" s="57"/>
      <c r="V50" s="57"/>
      <c r="W50" s="101"/>
      <c r="X50" s="58"/>
      <c r="Y50" s="59"/>
      <c r="Z50" s="59"/>
      <c r="AA50" s="59"/>
      <c r="AB50" s="59"/>
      <c r="AC50" s="59"/>
      <c r="AD50" s="59"/>
      <c r="AE50" s="59"/>
    </row>
    <row r="51" spans="1:31" s="2" customFormat="1" ht="15" customHeight="1" x14ac:dyDescent="0.25">
      <c r="A51" s="338" t="s">
        <v>148</v>
      </c>
      <c r="B51" s="339" t="s">
        <v>136</v>
      </c>
      <c r="C51" s="332">
        <f>IF(C50=0,0,C50-C49)</f>
        <v>0</v>
      </c>
      <c r="D51" s="332">
        <f t="shared" ref="D51:H51" si="39">IF(D50=0,0,D50-D49)</f>
        <v>0</v>
      </c>
      <c r="E51" s="332">
        <f t="shared" si="39"/>
        <v>0</v>
      </c>
      <c r="F51" s="332">
        <f t="shared" si="39"/>
        <v>0</v>
      </c>
      <c r="G51" s="332">
        <f t="shared" si="39"/>
        <v>0</v>
      </c>
      <c r="H51" s="334">
        <f t="shared" si="39"/>
        <v>0</v>
      </c>
      <c r="I51" s="338" t="str">
        <f t="shared" si="7"/>
        <v>Différence</v>
      </c>
      <c r="J51" s="339" t="s">
        <v>136</v>
      </c>
      <c r="K51" s="332">
        <f t="shared" ref="K51:P51" si="40">IF(K50=0,0,K50-K49)</f>
        <v>0</v>
      </c>
      <c r="L51" s="332">
        <f t="shared" si="40"/>
        <v>0</v>
      </c>
      <c r="M51" s="332">
        <f t="shared" si="40"/>
        <v>0</v>
      </c>
      <c r="N51" s="332">
        <f t="shared" si="40"/>
        <v>0</v>
      </c>
      <c r="O51" s="332">
        <f t="shared" si="40"/>
        <v>0</v>
      </c>
      <c r="P51" s="334">
        <f t="shared" si="40"/>
        <v>0</v>
      </c>
      <c r="Q51" s="309">
        <f>SUM(C51:H51)+SUM(K51:P51)</f>
        <v>0</v>
      </c>
      <c r="R51" s="57"/>
      <c r="S51" s="57"/>
      <c r="T51" s="57"/>
      <c r="U51" s="57"/>
      <c r="V51" s="57"/>
      <c r="W51" s="101"/>
      <c r="X51" s="58"/>
      <c r="Y51" s="59"/>
      <c r="Z51" s="59"/>
      <c r="AA51" s="59"/>
      <c r="AB51" s="59"/>
      <c r="AC51" s="59"/>
      <c r="AD51" s="59"/>
      <c r="AE51" s="59"/>
    </row>
    <row r="52" spans="1:31" s="2" customFormat="1" ht="15" customHeight="1" x14ac:dyDescent="0.25">
      <c r="A52" s="71" t="s">
        <v>149</v>
      </c>
      <c r="B52" s="326"/>
      <c r="C52" s="458"/>
      <c r="D52" s="458"/>
      <c r="E52" s="458"/>
      <c r="F52" s="458"/>
      <c r="G52" s="458"/>
      <c r="H52" s="462"/>
      <c r="I52" s="71" t="str">
        <f t="shared" si="7"/>
        <v>Remarques</v>
      </c>
      <c r="J52" s="326"/>
      <c r="K52" s="458"/>
      <c r="L52" s="458"/>
      <c r="M52" s="458"/>
      <c r="N52" s="458"/>
      <c r="O52" s="464"/>
      <c r="P52" s="462"/>
      <c r="Q52" s="72">
        <f t="shared" ref="Q52" si="41">SUM(C52:H52)+SUM(K52:P52)</f>
        <v>0</v>
      </c>
      <c r="R52" s="65"/>
      <c r="S52" s="57"/>
      <c r="T52" s="57"/>
      <c r="U52" s="57"/>
      <c r="V52" s="65"/>
      <c r="W52" s="101"/>
      <c r="X52" s="59"/>
      <c r="Y52" s="59"/>
      <c r="Z52" s="59"/>
      <c r="AA52" s="59"/>
      <c r="AB52" s="59"/>
      <c r="AC52" s="59"/>
      <c r="AD52" s="59"/>
      <c r="AE52" s="59"/>
    </row>
    <row r="53" spans="1:31" s="6" customFormat="1" ht="15" customHeight="1" thickBot="1" x14ac:dyDescent="0.3">
      <c r="A53" s="317"/>
      <c r="B53" s="277"/>
      <c r="C53" s="459"/>
      <c r="D53" s="459"/>
      <c r="E53" s="459"/>
      <c r="F53" s="459"/>
      <c r="G53" s="459"/>
      <c r="H53" s="463"/>
      <c r="I53" s="317"/>
      <c r="J53" s="277"/>
      <c r="K53" s="459"/>
      <c r="L53" s="459"/>
      <c r="M53" s="459"/>
      <c r="N53" s="459"/>
      <c r="O53" s="465"/>
      <c r="P53" s="463"/>
      <c r="Q53" s="73"/>
      <c r="R53" s="79"/>
      <c r="S53" s="65"/>
      <c r="T53" s="65"/>
      <c r="U53" s="65"/>
      <c r="V53" s="79"/>
      <c r="W53" s="101"/>
      <c r="X53" s="59"/>
      <c r="Y53" s="59"/>
      <c r="Z53" s="59"/>
      <c r="AA53" s="59"/>
      <c r="AB53" s="59"/>
      <c r="AC53" s="59"/>
      <c r="AD53" s="64"/>
      <c r="AE53" s="64"/>
    </row>
    <row r="54" spans="1:31" s="2" customFormat="1" ht="5.15" customHeight="1" thickBot="1" x14ac:dyDescent="0.35">
      <c r="A54" s="53"/>
      <c r="B54" s="53"/>
      <c r="C54" s="74"/>
      <c r="D54" s="54"/>
      <c r="E54" s="55"/>
      <c r="F54" s="54"/>
      <c r="G54" s="54"/>
      <c r="H54" s="56"/>
      <c r="I54" s="53"/>
      <c r="J54" s="53"/>
      <c r="K54" s="56"/>
      <c r="L54" s="56"/>
      <c r="M54" s="56"/>
      <c r="N54" s="74"/>
      <c r="O54" s="54"/>
      <c r="P54" s="54"/>
      <c r="Q54" s="54">
        <f>SUM(C54:H54)+SUM(K54:P54)</f>
        <v>0</v>
      </c>
      <c r="R54" s="57"/>
      <c r="S54" s="79"/>
      <c r="T54" s="79"/>
      <c r="U54" s="79"/>
      <c r="V54" s="57"/>
      <c r="W54" s="102"/>
      <c r="X54" s="63"/>
      <c r="Y54" s="64"/>
      <c r="Z54" s="64"/>
      <c r="AA54" s="64"/>
      <c r="AB54" s="64"/>
      <c r="AC54" s="64"/>
      <c r="AD54" s="59"/>
      <c r="AE54" s="59"/>
    </row>
    <row r="55" spans="1:31" s="2" customFormat="1" ht="15" customHeight="1" x14ac:dyDescent="0.25">
      <c r="A55" s="318" t="s">
        <v>150</v>
      </c>
      <c r="B55" s="278"/>
      <c r="C55" s="85">
        <f t="shared" ref="C55:H55" si="42">C21</f>
        <v>46023</v>
      </c>
      <c r="D55" s="86">
        <f t="shared" si="42"/>
        <v>46054</v>
      </c>
      <c r="E55" s="86">
        <f t="shared" si="42"/>
        <v>46082</v>
      </c>
      <c r="F55" s="86">
        <f t="shared" si="42"/>
        <v>46113</v>
      </c>
      <c r="G55" s="86">
        <f t="shared" si="42"/>
        <v>46143</v>
      </c>
      <c r="H55" s="87">
        <f t="shared" si="42"/>
        <v>46174</v>
      </c>
      <c r="I55" s="318" t="str">
        <f>A55</f>
        <v>Données pour AssistMe:</v>
      </c>
      <c r="J55" s="278"/>
      <c r="K55" s="86">
        <f t="shared" ref="K55:P55" si="43">K21</f>
        <v>46204</v>
      </c>
      <c r="L55" s="86">
        <f t="shared" si="43"/>
        <v>46235</v>
      </c>
      <c r="M55" s="86">
        <f t="shared" si="43"/>
        <v>46266</v>
      </c>
      <c r="N55" s="88">
        <f t="shared" si="43"/>
        <v>46296</v>
      </c>
      <c r="O55" s="86">
        <f t="shared" si="43"/>
        <v>46327</v>
      </c>
      <c r="P55" s="87">
        <f t="shared" si="43"/>
        <v>46357</v>
      </c>
      <c r="Q55" s="229" t="s">
        <v>134</v>
      </c>
      <c r="R55" s="57"/>
      <c r="S55" s="57"/>
      <c r="T55" s="57"/>
      <c r="U55" s="57"/>
      <c r="V55" s="57"/>
      <c r="W55" s="101"/>
      <c r="X55" s="59"/>
      <c r="Y55" s="59"/>
      <c r="Z55" s="59"/>
      <c r="AA55" s="59"/>
      <c r="AB55" s="59"/>
      <c r="AC55" s="59"/>
      <c r="AD55" s="59"/>
      <c r="AE55" s="59"/>
    </row>
    <row r="56" spans="1:31" s="2" customFormat="1" ht="15" customHeight="1" x14ac:dyDescent="0.25">
      <c r="A56" s="319" t="s">
        <v>151</v>
      </c>
      <c r="B56" s="279" t="s">
        <v>152</v>
      </c>
      <c r="C56" s="292" t="str">
        <f t="shared" ref="C56:H56" si="44">IF($C$16="Salaire horaire",IF($M$8="","",(C25*$P$10)+(C24*$P$7)+C26+C28+(C32+C33)/(IF($M$13&gt;1,((($M$8+$M$13)/2)),$M$8))),"Salaire mensuel")</f>
        <v>Salaire mensuel</v>
      </c>
      <c r="D56" s="292" t="str">
        <f t="shared" si="44"/>
        <v>Salaire mensuel</v>
      </c>
      <c r="E56" s="292" t="str">
        <f t="shared" si="44"/>
        <v>Salaire mensuel</v>
      </c>
      <c r="F56" s="292" t="str">
        <f t="shared" si="44"/>
        <v>Salaire mensuel</v>
      </c>
      <c r="G56" s="292" t="str">
        <f t="shared" si="44"/>
        <v>Salaire mensuel</v>
      </c>
      <c r="H56" s="293" t="str">
        <f t="shared" si="44"/>
        <v>Salaire mensuel</v>
      </c>
      <c r="I56" s="320" t="str">
        <f>A56</f>
        <v>Nombre d'heures</v>
      </c>
      <c r="J56" s="279" t="s">
        <v>153</v>
      </c>
      <c r="K56" s="292" t="str">
        <f t="shared" ref="K56:P56" si="45">IF($C$16="Salaire horaire",IF($M$8="","",(K25*$P$10)+(K24*$P$7)+K26+K28+(K32+K33)/(IF($M$13&gt;1,((($M$8+$M$13)/2)),$M$8))),"Salaire mensuel")</f>
        <v>Salaire mensuel</v>
      </c>
      <c r="L56" s="292" t="str">
        <f t="shared" si="45"/>
        <v>Salaire mensuel</v>
      </c>
      <c r="M56" s="292" t="str">
        <f t="shared" si="45"/>
        <v>Salaire mensuel</v>
      </c>
      <c r="N56" s="292" t="str">
        <f t="shared" si="45"/>
        <v>Salaire mensuel</v>
      </c>
      <c r="O56" s="292" t="str">
        <f t="shared" si="45"/>
        <v>Salaire mensuel</v>
      </c>
      <c r="P56" s="293" t="str">
        <f t="shared" si="45"/>
        <v>Salaire mensuel</v>
      </c>
      <c r="Q56" s="233">
        <f>SUM(C56:H56)+SUM(K56:P56)</f>
        <v>0</v>
      </c>
      <c r="R56" s="57"/>
      <c r="S56" s="57"/>
      <c r="T56" s="57"/>
      <c r="U56" s="57"/>
      <c r="V56" s="57"/>
      <c r="W56" s="101"/>
      <c r="X56" s="59"/>
      <c r="Y56" s="59"/>
      <c r="Z56" s="59"/>
      <c r="AA56" s="59"/>
      <c r="AB56" s="59"/>
      <c r="AC56" s="59"/>
      <c r="AD56" s="59"/>
      <c r="AE56" s="59"/>
    </row>
    <row r="57" spans="1:31" s="2" customFormat="1" ht="15" customHeight="1" x14ac:dyDescent="0.25">
      <c r="A57" s="320" t="s">
        <v>146</v>
      </c>
      <c r="B57" s="280" t="s">
        <v>136</v>
      </c>
      <c r="C57" s="294">
        <f>C49-C48-C47-C46-C36-C35-C34-C31</f>
        <v>0</v>
      </c>
      <c r="D57" s="294">
        <f t="shared" ref="D57:H57" si="46">D49-D48-D47-D46-D36-D35-D34-D31</f>
        <v>0</v>
      </c>
      <c r="E57" s="294">
        <f t="shared" si="46"/>
        <v>0</v>
      </c>
      <c r="F57" s="294">
        <f t="shared" si="46"/>
        <v>0</v>
      </c>
      <c r="G57" s="294">
        <f t="shared" si="46"/>
        <v>0</v>
      </c>
      <c r="H57" s="293">
        <f t="shared" si="46"/>
        <v>0</v>
      </c>
      <c r="I57" s="320" t="str">
        <f>A57</f>
        <v>Salaire net</v>
      </c>
      <c r="J57" s="280" t="s">
        <v>136</v>
      </c>
      <c r="K57" s="60">
        <f t="shared" ref="K57:P57" si="47">K49-K48-K47-K46-K36-K35-K34-K31</f>
        <v>0</v>
      </c>
      <c r="L57" s="60">
        <f t="shared" si="47"/>
        <v>0</v>
      </c>
      <c r="M57" s="60">
        <f t="shared" si="47"/>
        <v>0</v>
      </c>
      <c r="N57" s="301">
        <f t="shared" si="47"/>
        <v>0</v>
      </c>
      <c r="O57" s="60">
        <f t="shared" si="47"/>
        <v>0</v>
      </c>
      <c r="P57" s="61">
        <f t="shared" si="47"/>
        <v>0</v>
      </c>
      <c r="Q57" s="61">
        <f>SUM(C57:H57)+SUM(K57:P57)</f>
        <v>0</v>
      </c>
      <c r="R57" s="57"/>
      <c r="S57" s="57"/>
      <c r="T57" s="57"/>
      <c r="U57" s="57"/>
      <c r="V57" s="57"/>
      <c r="W57" s="101"/>
      <c r="X57" s="58"/>
      <c r="Y57" s="59"/>
      <c r="Z57" s="59"/>
      <c r="AA57" s="59"/>
      <c r="AB57" s="59"/>
      <c r="AC57" s="59"/>
      <c r="AD57" s="59"/>
      <c r="AE57" s="59"/>
    </row>
    <row r="58" spans="1:31" s="2" customFormat="1" ht="15" customHeight="1" thickBot="1" x14ac:dyDescent="0.3">
      <c r="A58" s="321" t="s">
        <v>154</v>
      </c>
      <c r="B58" s="281" t="s">
        <v>136</v>
      </c>
      <c r="C58" s="295">
        <f>IF(C32&gt;0.1,C32-(C32*(SUM($T$8:$T$14)+$Y$9+$T$16))-(C32/IF(C39=0,1,C39)*-C44),IF(C32&lt;-0.1,C32-(C32*(SUM($T$8:$T$14)+$Y$9+$T$16))-(C32/IF(C39=0,1,C39)*-C44),0))</f>
        <v>0</v>
      </c>
      <c r="D58" s="295">
        <f t="shared" ref="D58:H58" si="48">IF(D32&gt;0.1,D32-(D32*(SUM($T$8:$T$14)+$Y$9+$T$16))-(D32/IF(D39=0,1,D39)*-D44),IF(D32&lt;-0.1,D32-(D32*(SUM($T$8:$T$14)+$Y$9+$T$16))-(D32/IF(D39=0,1,D39)*-D44),0))</f>
        <v>0</v>
      </c>
      <c r="E58" s="295">
        <f t="shared" si="48"/>
        <v>0</v>
      </c>
      <c r="F58" s="295">
        <f t="shared" si="48"/>
        <v>0</v>
      </c>
      <c r="G58" s="295">
        <f t="shared" si="48"/>
        <v>0</v>
      </c>
      <c r="H58" s="296">
        <f t="shared" si="48"/>
        <v>0</v>
      </c>
      <c r="I58" s="321" t="str">
        <f>A58</f>
        <v>Dont oblig. de verser le salaire (art. 324a CO)</v>
      </c>
      <c r="J58" s="281" t="s">
        <v>136</v>
      </c>
      <c r="K58" s="295">
        <f t="shared" ref="K58:P58" si="49">IF(K32&gt;0.1,K32-(K32*(SUM($T$8:$T$14)+$Y$9+$T$16))-(K32/IF(K39=0,1,K39)*-K44),IF(K32&lt;-0.1,K32-(K32*(SUM($T$8:$T$14)+$Y$9+$T$16))-(K32/IF(K39=0,1,K39)*-K44),0))</f>
        <v>0</v>
      </c>
      <c r="L58" s="295">
        <f t="shared" si="49"/>
        <v>0</v>
      </c>
      <c r="M58" s="295">
        <f t="shared" si="49"/>
        <v>0</v>
      </c>
      <c r="N58" s="295">
        <f t="shared" si="49"/>
        <v>0</v>
      </c>
      <c r="O58" s="295">
        <f t="shared" si="49"/>
        <v>0</v>
      </c>
      <c r="P58" s="296">
        <f t="shared" si="49"/>
        <v>0</v>
      </c>
      <c r="Q58" s="84">
        <f>SUM(C58:H58)+SUM(K58:P58)</f>
        <v>0</v>
      </c>
      <c r="R58" s="57"/>
      <c r="S58" s="57"/>
      <c r="T58" s="57"/>
      <c r="U58" s="57"/>
      <c r="V58" s="57"/>
      <c r="W58" s="101"/>
      <c r="X58" s="58"/>
      <c r="Y58" s="59"/>
      <c r="Z58" s="59"/>
      <c r="AA58" s="59"/>
      <c r="AB58" s="59"/>
      <c r="AC58" s="59"/>
      <c r="AD58" s="59"/>
      <c r="AE58" s="59"/>
    </row>
    <row r="59" spans="1:31" s="6" customFormat="1" ht="5.15" customHeight="1" thickBot="1" x14ac:dyDescent="0.3">
      <c r="A59" s="2"/>
      <c r="B59" s="2"/>
      <c r="C59" s="65"/>
      <c r="D59" s="57"/>
      <c r="E59" s="66"/>
      <c r="F59" s="57"/>
      <c r="G59" s="57"/>
      <c r="H59" s="67"/>
      <c r="I59" s="2"/>
      <c r="J59" s="2"/>
      <c r="K59" s="67"/>
      <c r="L59" s="67"/>
      <c r="M59" s="67"/>
      <c r="N59" s="65"/>
      <c r="O59" s="57"/>
      <c r="P59" s="57"/>
      <c r="Q59" s="57"/>
      <c r="R59" s="62"/>
      <c r="S59" s="57"/>
      <c r="T59" s="57"/>
      <c r="U59" s="57"/>
      <c r="V59" s="62"/>
      <c r="W59" s="101"/>
      <c r="X59" s="58"/>
      <c r="Y59" s="59"/>
      <c r="Z59" s="59"/>
      <c r="AA59" s="59"/>
      <c r="AB59" s="59"/>
      <c r="AC59" s="59"/>
      <c r="AD59" s="64"/>
      <c r="AE59" s="64"/>
    </row>
    <row r="60" spans="1:31" s="6" customFormat="1" ht="15" customHeight="1" x14ac:dyDescent="0.3">
      <c r="A60" s="322" t="str">
        <f>IF(G12="oui","Contribution d'assistance de l'AI","")</f>
        <v/>
      </c>
      <c r="B60" s="282"/>
      <c r="C60" s="226" t="str">
        <f>IF($G$12="oui",C21,"")</f>
        <v/>
      </c>
      <c r="D60" s="226" t="str">
        <f t="shared" ref="D60:H60" si="50">IF($G$12="oui",D21,"")</f>
        <v/>
      </c>
      <c r="E60" s="226" t="str">
        <f t="shared" si="50"/>
        <v/>
      </c>
      <c r="F60" s="226" t="str">
        <f t="shared" si="50"/>
        <v/>
      </c>
      <c r="G60" s="226" t="str">
        <f t="shared" si="50"/>
        <v/>
      </c>
      <c r="H60" s="227" t="str">
        <f t="shared" si="50"/>
        <v/>
      </c>
      <c r="I60" s="322" t="str">
        <f t="shared" ref="I60:I64" si="51">A60</f>
        <v/>
      </c>
      <c r="J60" s="282"/>
      <c r="K60" s="226" t="str">
        <f>IF($G$12="oui",K21,"")</f>
        <v/>
      </c>
      <c r="L60" s="226" t="str">
        <f t="shared" ref="L60:P60" si="52">IF($G$12="oui",L21,"")</f>
        <v/>
      </c>
      <c r="M60" s="226" t="str">
        <f t="shared" si="52"/>
        <v/>
      </c>
      <c r="N60" s="226" t="str">
        <f t="shared" si="52"/>
        <v/>
      </c>
      <c r="O60" s="226" t="str">
        <f t="shared" si="52"/>
        <v/>
      </c>
      <c r="P60" s="227" t="str">
        <f t="shared" si="52"/>
        <v/>
      </c>
      <c r="Q60" s="230" t="str">
        <f>IF($G$12="Oui","Total","")</f>
        <v/>
      </c>
      <c r="R60" s="62"/>
      <c r="S60" s="62"/>
      <c r="T60" s="62"/>
      <c r="U60" s="62"/>
      <c r="V60" s="62"/>
      <c r="W60" s="102"/>
      <c r="X60" s="63"/>
      <c r="Y60" s="64"/>
      <c r="Z60" s="64"/>
      <c r="AA60" s="64"/>
      <c r="AB60" s="64"/>
      <c r="AC60" s="64"/>
      <c r="AD60" s="64"/>
      <c r="AE60" s="64"/>
    </row>
    <row r="61" spans="1:31" s="2" customFormat="1" ht="15" customHeight="1" x14ac:dyDescent="0.3">
      <c r="A61" s="323" t="str">
        <f>IF(G12="oui","A) Nb. d'heures standard","")</f>
        <v/>
      </c>
      <c r="B61" s="283" t="str">
        <f>IF(G12="oui","h"," ")</f>
        <v xml:space="preserve"> </v>
      </c>
      <c r="C61" s="297" t="str">
        <f>IF($G$12="oui",(IF(DATEDIF($F$7,C$21,"Y")&lt;18,0,C26+C28)),"")</f>
        <v/>
      </c>
      <c r="D61" s="297" t="str">
        <f t="shared" ref="D61:H61" si="53">IF($G$12="oui",(IF(DATEDIF($F$7,D$21,"Y")&lt;18,0,D26+D28)),"")</f>
        <v/>
      </c>
      <c r="E61" s="297" t="str">
        <f t="shared" si="53"/>
        <v/>
      </c>
      <c r="F61" s="297" t="str">
        <f t="shared" si="53"/>
        <v/>
      </c>
      <c r="G61" s="297" t="str">
        <f t="shared" si="53"/>
        <v/>
      </c>
      <c r="H61" s="298" t="str">
        <f t="shared" si="53"/>
        <v/>
      </c>
      <c r="I61" s="324" t="str">
        <f t="shared" si="51"/>
        <v/>
      </c>
      <c r="J61" s="283" t="str">
        <f>B61</f>
        <v xml:space="preserve"> </v>
      </c>
      <c r="K61" s="297" t="str">
        <f>IF($G$12="oui",(IF(DATEDIF($F$7,K$21,"Y")&lt;18,0,K26+K28)),"")</f>
        <v/>
      </c>
      <c r="L61" s="297" t="str">
        <f t="shared" ref="L61:P61" si="54">IF($G$12="oui",(IF(DATEDIF($F$7,L$21,"Y")&lt;18,0,L26+L28)),"")</f>
        <v/>
      </c>
      <c r="M61" s="297" t="str">
        <f t="shared" si="54"/>
        <v/>
      </c>
      <c r="N61" s="297" t="str">
        <f t="shared" si="54"/>
        <v/>
      </c>
      <c r="O61" s="297" t="str">
        <f t="shared" si="54"/>
        <v/>
      </c>
      <c r="P61" s="298" t="str">
        <f t="shared" si="54"/>
        <v/>
      </c>
      <c r="Q61" s="402" t="str">
        <f>IF($G$12="Oui",SUM(C61:H61)+SUM(K61:P61),"")</f>
        <v/>
      </c>
      <c r="R61" s="57"/>
      <c r="S61" s="62"/>
      <c r="T61" s="62"/>
      <c r="U61" s="62"/>
      <c r="V61" s="57"/>
      <c r="W61" s="102"/>
      <c r="X61" s="63"/>
      <c r="Y61" s="64"/>
      <c r="Z61" s="64"/>
      <c r="AA61" s="64"/>
      <c r="AB61" s="64"/>
      <c r="AC61" s="64"/>
      <c r="AD61" s="59"/>
      <c r="AE61" s="59"/>
    </row>
    <row r="62" spans="1:31" s="2" customFormat="1" ht="15" customHeight="1" x14ac:dyDescent="0.25">
      <c r="A62" s="324" t="str">
        <f>IF(G12="oui","B) Nb. d'heures quali B","")</f>
        <v/>
      </c>
      <c r="B62" s="284" t="str">
        <f>IF(G12="oui","h"," ")</f>
        <v xml:space="preserve"> </v>
      </c>
      <c r="C62" s="297"/>
      <c r="D62" s="297"/>
      <c r="E62" s="297"/>
      <c r="F62" s="297"/>
      <c r="G62" s="297"/>
      <c r="H62" s="298"/>
      <c r="I62" s="324" t="str">
        <f t="shared" si="51"/>
        <v/>
      </c>
      <c r="J62" s="284" t="str">
        <f>B62</f>
        <v xml:space="preserve"> </v>
      </c>
      <c r="K62" s="297"/>
      <c r="L62" s="297"/>
      <c r="M62" s="297"/>
      <c r="N62" s="297"/>
      <c r="O62" s="297"/>
      <c r="P62" s="298"/>
      <c r="Q62" s="228" t="str">
        <f>IF($G$12="Oui",SUM(C62:H62)+SUM(K62:P62),"")</f>
        <v/>
      </c>
      <c r="R62" s="57"/>
      <c r="S62" s="57"/>
      <c r="T62" s="57"/>
      <c r="U62" s="57"/>
      <c r="V62" s="57"/>
      <c r="W62" s="101"/>
      <c r="X62" s="58"/>
      <c r="Y62" s="58"/>
      <c r="Z62" s="58"/>
      <c r="AA62" s="58"/>
      <c r="AB62" s="58"/>
      <c r="AC62" s="58"/>
      <c r="AD62" s="58"/>
      <c r="AE62" s="58"/>
    </row>
    <row r="63" spans="1:31" s="2" customFormat="1" ht="15" customHeight="1" x14ac:dyDescent="0.25">
      <c r="A63" s="445" t="str">
        <f>IF($G$12="oui","C) Nb. d'engagements 
de nuit","")</f>
        <v/>
      </c>
      <c r="B63" s="448" t="str">
        <f>IF(G12="oui","Nb."," ")</f>
        <v xml:space="preserve"> </v>
      </c>
      <c r="C63" s="376" t="str">
        <f>IF($G$12="Oui",(IF(DATEDIF($F$7,C$21,"Y")&lt;18,0,C25)),"")</f>
        <v/>
      </c>
      <c r="D63" s="376" t="str">
        <f t="shared" ref="D63:H63" si="55">IF($G$12="Oui",(IF(DATEDIF($F$7,D$21,"Y")&lt;18,0,D25)),"")</f>
        <v/>
      </c>
      <c r="E63" s="376" t="str">
        <f t="shared" si="55"/>
        <v/>
      </c>
      <c r="F63" s="376" t="str">
        <f t="shared" si="55"/>
        <v/>
      </c>
      <c r="G63" s="376" t="str">
        <f t="shared" si="55"/>
        <v/>
      </c>
      <c r="H63" s="377" t="str">
        <f t="shared" si="55"/>
        <v/>
      </c>
      <c r="I63" s="324" t="str">
        <f t="shared" si="51"/>
        <v/>
      </c>
      <c r="J63" s="284" t="str">
        <f>B63</f>
        <v xml:space="preserve"> </v>
      </c>
      <c r="K63" s="376" t="str">
        <f>IF($G$12="Oui",(IF(DATEDIF($F$7,K$21,"Y")&lt;18,0,K25)),"")</f>
        <v/>
      </c>
      <c r="L63" s="376" t="str">
        <f t="shared" ref="L63:P63" si="56">IF($G$12="Oui",(IF(DATEDIF($F$7,L$21,"Y")&lt;18,0,L25)),"")</f>
        <v/>
      </c>
      <c r="M63" s="376" t="str">
        <f t="shared" si="56"/>
        <v/>
      </c>
      <c r="N63" s="376" t="str">
        <f t="shared" si="56"/>
        <v/>
      </c>
      <c r="O63" s="376" t="str">
        <f t="shared" si="56"/>
        <v/>
      </c>
      <c r="P63" s="377" t="str">
        <f t="shared" si="56"/>
        <v/>
      </c>
      <c r="Q63" s="228" t="str">
        <f>IF($G$12="Oui",SUM(C63:H63)+SUM(K63:P63),"")</f>
        <v/>
      </c>
      <c r="R63" s="57"/>
      <c r="S63" s="57"/>
      <c r="T63" s="57"/>
      <c r="U63" s="57"/>
      <c r="V63" s="57"/>
      <c r="W63" s="101"/>
      <c r="X63" s="58"/>
      <c r="Y63" s="58"/>
      <c r="Z63" s="58"/>
      <c r="AA63" s="58"/>
      <c r="AB63" s="58"/>
      <c r="AC63" s="58"/>
      <c r="AD63" s="58"/>
      <c r="AE63" s="58"/>
    </row>
    <row r="64" spans="1:31" s="2" customFormat="1" ht="15" customHeight="1" thickBot="1" x14ac:dyDescent="0.3">
      <c r="A64" s="446" t="str">
        <f>IF(G12="oui","Oblig. de verser le salaire","")</f>
        <v/>
      </c>
      <c r="B64" s="449"/>
      <c r="C64" s="299" t="str">
        <f>IF($G$12="Oui",(IF(DATEDIF($F$7,C$21,"Y")&lt;18,0,(IF(OR(C32&gt;0.1,C33&gt;0.1),"décompter","")))),"")</f>
        <v/>
      </c>
      <c r="D64" s="299" t="str">
        <f t="shared" ref="D64:H64" si="57">IF($G$12="Oui",(IF(DATEDIF($F$7,D$21,"Y")&lt;18,0,(IF(OR(D32&gt;0.1,D33&gt;0.1),"décompter","")))),"")</f>
        <v/>
      </c>
      <c r="E64" s="299" t="str">
        <f t="shared" si="57"/>
        <v/>
      </c>
      <c r="F64" s="299" t="str">
        <f t="shared" si="57"/>
        <v/>
      </c>
      <c r="G64" s="299" t="str">
        <f t="shared" si="57"/>
        <v/>
      </c>
      <c r="H64" s="300" t="str">
        <f t="shared" si="57"/>
        <v/>
      </c>
      <c r="I64" s="325" t="str">
        <f t="shared" si="51"/>
        <v/>
      </c>
      <c r="J64" s="285">
        <f>B64</f>
        <v>0</v>
      </c>
      <c r="K64" s="299" t="str">
        <f>IF($G$12="Oui",(IF(DATEDIF($F$7,K$21,"Y")&lt;18,0,(IF(OR(K32&gt;0.1,K33&gt;0.1),"décompter","")))),"")</f>
        <v/>
      </c>
      <c r="L64" s="299" t="str">
        <f t="shared" ref="L64:P64" si="58">IF($G$12="Oui",(IF(DATEDIF($F$7,L$21,"Y")&lt;18,0,(IF(OR(L32&gt;0.1,L33&gt;0.1),"décompter","")))),"")</f>
        <v/>
      </c>
      <c r="M64" s="299" t="str">
        <f t="shared" si="58"/>
        <v/>
      </c>
      <c r="N64" s="299" t="str">
        <f t="shared" si="58"/>
        <v/>
      </c>
      <c r="O64" s="299" t="str">
        <f t="shared" si="58"/>
        <v/>
      </c>
      <c r="P64" s="300" t="str">
        <f t="shared" si="58"/>
        <v/>
      </c>
      <c r="Q64" s="231" t="str">
        <f>IF($G$12="oui",SUM(C64:H64)+SUM(K64:P64),"")</f>
        <v/>
      </c>
      <c r="R64" s="57"/>
      <c r="S64" s="57"/>
      <c r="T64" s="57"/>
      <c r="U64" s="57"/>
      <c r="V64" s="57"/>
      <c r="W64" s="101"/>
      <c r="X64" s="58"/>
      <c r="Y64" s="58"/>
      <c r="Z64" s="58"/>
      <c r="AA64" s="58"/>
      <c r="AB64" s="58"/>
      <c r="AC64" s="58"/>
      <c r="AD64" s="58"/>
      <c r="AE64" s="58"/>
    </row>
    <row r="65" spans="1:31" s="6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2"/>
      <c r="K65" s="1"/>
      <c r="L65" s="1"/>
      <c r="M65" s="1"/>
      <c r="N65" s="1"/>
      <c r="O65" s="1"/>
      <c r="P65" s="1"/>
      <c r="Q65" s="1"/>
      <c r="R65" s="62"/>
      <c r="S65" s="1"/>
      <c r="T65" s="1"/>
      <c r="U65" s="1"/>
      <c r="V65" s="62"/>
      <c r="W65" s="101"/>
      <c r="X65" s="58"/>
      <c r="Y65" s="58"/>
      <c r="Z65" s="58"/>
      <c r="AA65" s="58"/>
      <c r="AB65" s="58"/>
      <c r="AC65" s="58"/>
      <c r="AD65" s="63"/>
      <c r="AE65" s="63"/>
    </row>
    <row r="66" spans="1:31" s="415" customFormat="1" ht="15" customHeight="1" x14ac:dyDescent="0.25">
      <c r="A66" s="1"/>
      <c r="B66" s="1"/>
      <c r="C66" s="412"/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12"/>
      <c r="Q66" s="412"/>
      <c r="R66" s="413"/>
      <c r="S66" s="412"/>
      <c r="T66" s="412"/>
      <c r="U66" s="412"/>
      <c r="V66" s="413"/>
      <c r="W66" s="429"/>
      <c r="X66" s="414"/>
      <c r="Y66" s="414"/>
      <c r="Z66" s="414"/>
      <c r="AA66" s="414"/>
      <c r="AB66" s="414"/>
      <c r="AC66" s="414"/>
      <c r="AD66" s="414"/>
      <c r="AE66" s="414"/>
    </row>
    <row r="67" spans="1:31" s="412" customFormat="1" ht="15" hidden="1" customHeight="1" x14ac:dyDescent="0.2">
      <c r="A67" s="412" t="s">
        <v>155</v>
      </c>
      <c r="C67" s="424" t="str">
        <f>IF(AND($C$14&lt;=EOMONTH(C$21,0),OR($C$15&gt;=C$21,$C$15=""),$F$17&lt;=C$21),"oui","no")</f>
        <v>no</v>
      </c>
      <c r="D67" s="424" t="str">
        <f t="shared" ref="D67:H67" si="59">IF(AND($C$14&lt;=EOMONTH(D$21,0),OR($C$15&gt;=D$21,$C$15=""),$F$17&lt;=D$21),"oui","no")</f>
        <v>no</v>
      </c>
      <c r="E67" s="424" t="str">
        <f t="shared" si="59"/>
        <v>no</v>
      </c>
      <c r="F67" s="424" t="str">
        <f t="shared" si="59"/>
        <v>no</v>
      </c>
      <c r="G67" s="424" t="str">
        <f t="shared" si="59"/>
        <v>no</v>
      </c>
      <c r="H67" s="424" t="str">
        <f t="shared" si="59"/>
        <v>no</v>
      </c>
      <c r="I67" s="424"/>
      <c r="J67" s="424"/>
      <c r="K67" s="424" t="str">
        <f>IF(AND($C$14&lt;=EOMONTH(K$21,0),OR($C$15&gt;=K$21,$C$15=""),$F$17&lt;=K$21),"oui","no")</f>
        <v>no</v>
      </c>
      <c r="L67" s="424" t="str">
        <f t="shared" ref="L67:P67" si="60">IF(AND($C$14&lt;=EOMONTH(L$21,0),OR($C$15&gt;=L$21,$C$15=""),$F$17&lt;=L$21),"oui","no")</f>
        <v>no</v>
      </c>
      <c r="M67" s="424" t="str">
        <f t="shared" si="60"/>
        <v>no</v>
      </c>
      <c r="N67" s="424" t="str">
        <f t="shared" si="60"/>
        <v>no</v>
      </c>
      <c r="O67" s="424" t="str">
        <f t="shared" si="60"/>
        <v>no</v>
      </c>
      <c r="P67" s="424" t="str">
        <f t="shared" si="60"/>
        <v>no</v>
      </c>
      <c r="X67" s="416"/>
      <c r="Y67" s="416"/>
      <c r="Z67" s="416"/>
      <c r="AA67" s="416"/>
      <c r="AB67" s="416"/>
      <c r="AC67" s="416"/>
      <c r="AD67" s="416"/>
      <c r="AE67" s="416"/>
    </row>
    <row r="68" spans="1:31" s="412" customFormat="1" ht="10" hidden="1" x14ac:dyDescent="0.2">
      <c r="X68" s="416"/>
      <c r="Y68" s="416"/>
      <c r="Z68" s="416"/>
      <c r="AA68" s="416"/>
      <c r="AB68" s="416"/>
      <c r="AC68" s="416"/>
      <c r="AD68" s="416"/>
      <c r="AE68" s="416"/>
    </row>
    <row r="69" spans="1:31" s="412" customFormat="1" ht="10.5" hidden="1" x14ac:dyDescent="0.25">
      <c r="A69" s="417"/>
      <c r="C69" s="418">
        <f>C$21</f>
        <v>46023</v>
      </c>
      <c r="D69" s="418">
        <f t="shared" ref="D69:H69" si="61">D$21</f>
        <v>46054</v>
      </c>
      <c r="E69" s="418">
        <f t="shared" si="61"/>
        <v>46082</v>
      </c>
      <c r="F69" s="418">
        <f t="shared" si="61"/>
        <v>46113</v>
      </c>
      <c r="G69" s="418">
        <f t="shared" si="61"/>
        <v>46143</v>
      </c>
      <c r="H69" s="418">
        <f t="shared" si="61"/>
        <v>46174</v>
      </c>
      <c r="K69" s="418">
        <f>K$21</f>
        <v>46204</v>
      </c>
      <c r="L69" s="418">
        <f t="shared" ref="L69:P69" si="62">L$21</f>
        <v>46235</v>
      </c>
      <c r="M69" s="418">
        <f t="shared" si="62"/>
        <v>46266</v>
      </c>
      <c r="N69" s="418">
        <f t="shared" si="62"/>
        <v>46296</v>
      </c>
      <c r="O69" s="418">
        <f t="shared" si="62"/>
        <v>46327</v>
      </c>
      <c r="P69" s="418">
        <f t="shared" si="62"/>
        <v>46357</v>
      </c>
      <c r="X69" s="416"/>
      <c r="Y69" s="416"/>
      <c r="Z69" s="416"/>
      <c r="AA69" s="416"/>
      <c r="AB69" s="416"/>
      <c r="AC69" s="416"/>
      <c r="AD69" s="416"/>
      <c r="AE69" s="416"/>
    </row>
    <row r="70" spans="1:31" s="412" customFormat="1" ht="10.5" hidden="1" x14ac:dyDescent="0.25">
      <c r="A70" s="419" t="s">
        <v>156</v>
      </c>
      <c r="C70" s="419">
        <f t="shared" ref="C70:H70" si="63">IF($C$16="Salaire horaire",SUM(C$27,C$29,C$30,C$31,C$32,C$33,C$34),SUM(C$22,C$23,C$30,C$31,C$32,C$33,C$34))</f>
        <v>0</v>
      </c>
      <c r="D70" s="419">
        <f t="shared" si="63"/>
        <v>0</v>
      </c>
      <c r="E70" s="419">
        <f t="shared" si="63"/>
        <v>0</v>
      </c>
      <c r="F70" s="419">
        <f t="shared" si="63"/>
        <v>0</v>
      </c>
      <c r="G70" s="419">
        <f t="shared" si="63"/>
        <v>0</v>
      </c>
      <c r="H70" s="419">
        <f t="shared" si="63"/>
        <v>0</v>
      </c>
      <c r="K70" s="419">
        <f t="shared" ref="K70:P70" si="64">IF($C$16="Salaire horaire",SUM(K$27,K$29,K$30,K$31,K$32,K$33,K$34),SUM(K$22,K$23,K$30,K$31,K$32,K$33,K$34))</f>
        <v>0</v>
      </c>
      <c r="L70" s="419">
        <f t="shared" si="64"/>
        <v>0</v>
      </c>
      <c r="M70" s="419">
        <f t="shared" si="64"/>
        <v>0</v>
      </c>
      <c r="N70" s="419">
        <f t="shared" si="64"/>
        <v>0</v>
      </c>
      <c r="O70" s="419">
        <f t="shared" si="64"/>
        <v>0</v>
      </c>
      <c r="P70" s="419">
        <f t="shared" si="64"/>
        <v>0</v>
      </c>
      <c r="X70" s="416"/>
      <c r="Y70" s="416"/>
      <c r="Z70" s="416"/>
      <c r="AA70" s="416"/>
      <c r="AB70" s="416"/>
      <c r="AC70" s="416"/>
      <c r="AD70" s="416"/>
      <c r="AE70" s="416"/>
    </row>
    <row r="71" spans="1:31" s="412" customFormat="1" ht="10.5" hidden="1" x14ac:dyDescent="0.25">
      <c r="A71" s="419" t="s">
        <v>157</v>
      </c>
      <c r="C71" s="419">
        <f>IF(C$73=0,0,C$70)</f>
        <v>0</v>
      </c>
      <c r="D71" s="419">
        <f>IF(D$73=0,0,D$70+C$71)</f>
        <v>0</v>
      </c>
      <c r="E71" s="419">
        <f t="shared" ref="E71:G71" si="65">IF(E$73=0,0,E$70+D$71)</f>
        <v>0</v>
      </c>
      <c r="F71" s="419">
        <f t="shared" si="65"/>
        <v>0</v>
      </c>
      <c r="G71" s="419">
        <f t="shared" si="65"/>
        <v>0</v>
      </c>
      <c r="H71" s="419">
        <f>IF(H$73=0,0,H$70+G$71)</f>
        <v>0</v>
      </c>
      <c r="K71" s="419">
        <f>IF(K$73=0,0,K$70+H$71)</f>
        <v>0</v>
      </c>
      <c r="L71" s="419">
        <f>IF(L$73=0,0,L$70+K$71)</f>
        <v>0</v>
      </c>
      <c r="M71" s="419">
        <f t="shared" ref="M71:P71" si="66">IF(M$73=0,0,M$70+L$71)</f>
        <v>0</v>
      </c>
      <c r="N71" s="419">
        <f t="shared" si="66"/>
        <v>0</v>
      </c>
      <c r="O71" s="419">
        <f t="shared" si="66"/>
        <v>0</v>
      </c>
      <c r="P71" s="419">
        <f t="shared" si="66"/>
        <v>0</v>
      </c>
      <c r="X71" s="416"/>
      <c r="Y71" s="416"/>
      <c r="Z71" s="416"/>
      <c r="AA71" s="416"/>
      <c r="AB71" s="416"/>
      <c r="AC71" s="416"/>
      <c r="AD71" s="416"/>
      <c r="AE71" s="416"/>
    </row>
    <row r="72" spans="1:31" s="412" customFormat="1" ht="10.5" hidden="1" x14ac:dyDescent="0.25">
      <c r="A72" s="419"/>
      <c r="C72" s="419"/>
      <c r="D72" s="419"/>
      <c r="E72" s="419"/>
      <c r="F72" s="419"/>
      <c r="G72" s="419"/>
      <c r="H72" s="419"/>
      <c r="K72" s="419"/>
      <c r="L72" s="419"/>
      <c r="M72" s="419"/>
      <c r="N72" s="419"/>
      <c r="O72" s="419"/>
      <c r="P72" s="419"/>
      <c r="X72" s="416"/>
      <c r="Y72" s="416"/>
      <c r="Z72" s="416"/>
      <c r="AA72" s="416"/>
      <c r="AB72" s="416"/>
      <c r="AC72" s="416"/>
      <c r="AD72" s="416"/>
      <c r="AE72" s="416"/>
    </row>
    <row r="73" spans="1:31" s="412" customFormat="1" ht="10.5" hidden="1" x14ac:dyDescent="0.25">
      <c r="A73" s="419" t="s">
        <v>6</v>
      </c>
      <c r="C73" s="419">
        <f>IF(C$67="oui",Grundlagen!$B$7,0)</f>
        <v>0</v>
      </c>
      <c r="D73" s="419">
        <f>IF(D$67="oui",Grundlagen!$B$7,0)</f>
        <v>0</v>
      </c>
      <c r="E73" s="419">
        <f>IF(E$67="oui",Grundlagen!$B$7,0)</f>
        <v>0</v>
      </c>
      <c r="F73" s="419">
        <f>IF(F$67="oui",Grundlagen!$B$7,0)</f>
        <v>0</v>
      </c>
      <c r="G73" s="419">
        <f>IF(G$67="oui",Grundlagen!$B$7,0)</f>
        <v>0</v>
      </c>
      <c r="H73" s="419">
        <f>IF(H$67="oui",Grundlagen!$B$7,0)</f>
        <v>0</v>
      </c>
      <c r="K73" s="419">
        <f>IF(K$67="oui",Grundlagen!$B$7,0)</f>
        <v>0</v>
      </c>
      <c r="L73" s="419">
        <f>IF(L$67="oui",Grundlagen!$B$7,0)</f>
        <v>0</v>
      </c>
      <c r="M73" s="419">
        <f>IF(M$67="oui",Grundlagen!$B$7,0)</f>
        <v>0</v>
      </c>
      <c r="N73" s="419">
        <f>IF(N$67="oui",Grundlagen!$B$7,0)</f>
        <v>0</v>
      </c>
      <c r="O73" s="419">
        <f>IF(O$67="oui",Grundlagen!$B$7,0)</f>
        <v>0</v>
      </c>
      <c r="P73" s="419">
        <f>IF(P$67="oui",Grundlagen!$B$7,0)</f>
        <v>0</v>
      </c>
      <c r="X73" s="416"/>
      <c r="Y73" s="416"/>
      <c r="Z73" s="416"/>
      <c r="AA73" s="416"/>
      <c r="AB73" s="416"/>
      <c r="AC73" s="416"/>
      <c r="AD73" s="416"/>
      <c r="AE73" s="416"/>
    </row>
    <row r="74" spans="1:31" s="412" customFormat="1" ht="10.5" hidden="1" x14ac:dyDescent="0.25">
      <c r="A74" s="419" t="s">
        <v>158</v>
      </c>
      <c r="C74" s="419">
        <f>C$73</f>
        <v>0</v>
      </c>
      <c r="D74" s="419">
        <f>C$74+D$73</f>
        <v>0</v>
      </c>
      <c r="E74" s="419">
        <f t="shared" ref="E74:H74" si="67">D$74+E$73</f>
        <v>0</v>
      </c>
      <c r="F74" s="419">
        <f t="shared" si="67"/>
        <v>0</v>
      </c>
      <c r="G74" s="419">
        <f t="shared" si="67"/>
        <v>0</v>
      </c>
      <c r="H74" s="419">
        <f t="shared" si="67"/>
        <v>0</v>
      </c>
      <c r="K74" s="419">
        <f>H$74+K$73</f>
        <v>0</v>
      </c>
      <c r="L74" s="419">
        <f>K$74+L$73</f>
        <v>0</v>
      </c>
      <c r="M74" s="419">
        <f t="shared" ref="M74:P74" si="68">L$74+M$73</f>
        <v>0</v>
      </c>
      <c r="N74" s="419">
        <f t="shared" si="68"/>
        <v>0</v>
      </c>
      <c r="O74" s="419">
        <f t="shared" si="68"/>
        <v>0</v>
      </c>
      <c r="P74" s="419">
        <f t="shared" si="68"/>
        <v>0</v>
      </c>
      <c r="X74" s="416"/>
      <c r="Y74" s="416"/>
      <c r="Z74" s="416"/>
      <c r="AA74" s="416"/>
      <c r="AB74" s="416"/>
      <c r="AC74" s="416"/>
      <c r="AD74" s="416"/>
      <c r="AE74" s="416"/>
    </row>
    <row r="75" spans="1:31" s="412" customFormat="1" ht="10.5" hidden="1" x14ac:dyDescent="0.25">
      <c r="A75" s="419"/>
      <c r="C75" s="419"/>
      <c r="D75" s="419"/>
      <c r="E75" s="419"/>
      <c r="F75" s="419"/>
      <c r="G75" s="419"/>
      <c r="H75" s="419"/>
      <c r="K75" s="419"/>
      <c r="L75" s="419"/>
      <c r="M75" s="419"/>
      <c r="N75" s="419"/>
      <c r="O75" s="419"/>
      <c r="P75" s="419"/>
      <c r="X75" s="416"/>
      <c r="Y75" s="416"/>
      <c r="Z75" s="416"/>
      <c r="AA75" s="416"/>
      <c r="AB75" s="416"/>
      <c r="AC75" s="416"/>
      <c r="AD75" s="416"/>
      <c r="AE75" s="416"/>
    </row>
    <row r="76" spans="1:31" s="412" customFormat="1" ht="10.5" hidden="1" x14ac:dyDescent="0.25">
      <c r="A76" s="419" t="s">
        <v>159</v>
      </c>
      <c r="C76" s="419">
        <f>IF(C$71&gt;C$74,C$71-C$74,0)</f>
        <v>0</v>
      </c>
      <c r="D76" s="419">
        <f t="shared" ref="D76:H76" si="69">IF(D$71&gt;D$74,D$71-D$74,0)</f>
        <v>0</v>
      </c>
      <c r="E76" s="419">
        <f t="shared" si="69"/>
        <v>0</v>
      </c>
      <c r="F76" s="419">
        <f t="shared" si="69"/>
        <v>0</v>
      </c>
      <c r="G76" s="419">
        <f t="shared" si="69"/>
        <v>0</v>
      </c>
      <c r="H76" s="419">
        <f t="shared" si="69"/>
        <v>0</v>
      </c>
      <c r="K76" s="419">
        <f>IF(K$71&gt;K$74,K$71-K$74,0)</f>
        <v>0</v>
      </c>
      <c r="L76" s="419">
        <f t="shared" ref="L76:P76" si="70">IF(L$71&gt;L$74,L$71-L$74,0)</f>
        <v>0</v>
      </c>
      <c r="M76" s="419">
        <f t="shared" si="70"/>
        <v>0</v>
      </c>
      <c r="N76" s="419">
        <f t="shared" si="70"/>
        <v>0</v>
      </c>
      <c r="O76" s="419">
        <f t="shared" si="70"/>
        <v>0</v>
      </c>
      <c r="P76" s="419">
        <f t="shared" si="70"/>
        <v>0</v>
      </c>
      <c r="X76" s="416"/>
      <c r="Y76" s="416"/>
      <c r="Z76" s="416"/>
      <c r="AA76" s="416"/>
      <c r="AB76" s="416"/>
      <c r="AC76" s="416"/>
      <c r="AD76" s="416"/>
      <c r="AE76" s="416"/>
    </row>
    <row r="77" spans="1:31" s="412" customFormat="1" ht="10.5" hidden="1" x14ac:dyDescent="0.25">
      <c r="A77" s="419" t="s">
        <v>160</v>
      </c>
      <c r="C77" s="419">
        <f>C$79</f>
        <v>0</v>
      </c>
      <c r="D77" s="419">
        <f>C$77+D$79</f>
        <v>0</v>
      </c>
      <c r="E77" s="419">
        <f t="shared" ref="E77:H77" si="71">D$77+E$79</f>
        <v>0</v>
      </c>
      <c r="F77" s="419">
        <f t="shared" si="71"/>
        <v>0</v>
      </c>
      <c r="G77" s="419">
        <f t="shared" si="71"/>
        <v>0</v>
      </c>
      <c r="H77" s="419">
        <f t="shared" si="71"/>
        <v>0</v>
      </c>
      <c r="K77" s="419">
        <f>H$77+K$79</f>
        <v>0</v>
      </c>
      <c r="L77" s="419">
        <f>K$77+L$79</f>
        <v>0</v>
      </c>
      <c r="M77" s="419">
        <f t="shared" ref="M77:P77" si="72">L$77+M$79</f>
        <v>0</v>
      </c>
      <c r="N77" s="419">
        <f t="shared" si="72"/>
        <v>0</v>
      </c>
      <c r="O77" s="419">
        <f t="shared" si="72"/>
        <v>0</v>
      </c>
      <c r="P77" s="419">
        <f t="shared" si="72"/>
        <v>0</v>
      </c>
      <c r="X77" s="416"/>
      <c r="Y77" s="416"/>
      <c r="Z77" s="416"/>
      <c r="AA77" s="416"/>
      <c r="AB77" s="416"/>
      <c r="AC77" s="416"/>
      <c r="AD77" s="416"/>
      <c r="AE77" s="416"/>
    </row>
    <row r="78" spans="1:31" s="412" customFormat="1" ht="10.5" hidden="1" x14ac:dyDescent="0.25">
      <c r="A78" s="419"/>
      <c r="C78" s="419"/>
      <c r="D78" s="419"/>
      <c r="E78" s="419"/>
      <c r="F78" s="419"/>
      <c r="G78" s="419"/>
      <c r="H78" s="419"/>
      <c r="K78" s="419"/>
      <c r="L78" s="419"/>
      <c r="M78" s="419"/>
      <c r="N78" s="419"/>
      <c r="O78" s="419"/>
      <c r="P78" s="419"/>
      <c r="X78" s="416"/>
      <c r="Y78" s="416"/>
      <c r="Z78" s="416"/>
      <c r="AA78" s="416"/>
      <c r="AB78" s="416"/>
      <c r="AC78" s="416"/>
      <c r="AD78" s="416"/>
      <c r="AE78" s="416"/>
    </row>
    <row r="79" spans="1:31" s="412" customFormat="1" ht="10.5" hidden="1" x14ac:dyDescent="0.25">
      <c r="A79" s="420" t="s">
        <v>161</v>
      </c>
      <c r="C79" s="419">
        <f>IF(C$70=0,0,C$76)</f>
        <v>0</v>
      </c>
      <c r="D79" s="420">
        <f>IF(D$70=0,0,D$76-C$77)</f>
        <v>0</v>
      </c>
      <c r="E79" s="420">
        <f t="shared" ref="E79:H79" si="73">IF(E$70=0,0,E$76-D$77)</f>
        <v>0</v>
      </c>
      <c r="F79" s="420">
        <f t="shared" si="73"/>
        <v>0</v>
      </c>
      <c r="G79" s="420">
        <f t="shared" si="73"/>
        <v>0</v>
      </c>
      <c r="H79" s="420">
        <f t="shared" si="73"/>
        <v>0</v>
      </c>
      <c r="K79" s="420">
        <f>IF(K$70=0,0,K$76-H$77)</f>
        <v>0</v>
      </c>
      <c r="L79" s="420">
        <f t="shared" ref="L79:P79" si="74">IF(L$70=0,0,L$76-K$77)</f>
        <v>0</v>
      </c>
      <c r="M79" s="420">
        <f t="shared" si="74"/>
        <v>0</v>
      </c>
      <c r="N79" s="420">
        <f t="shared" si="74"/>
        <v>0</v>
      </c>
      <c r="O79" s="420">
        <f t="shared" si="74"/>
        <v>0</v>
      </c>
      <c r="P79" s="420">
        <f t="shared" si="74"/>
        <v>0</v>
      </c>
      <c r="X79" s="416"/>
      <c r="Y79" s="416"/>
      <c r="Z79" s="416"/>
      <c r="AA79" s="416"/>
      <c r="AB79" s="416"/>
      <c r="AC79" s="416"/>
      <c r="AD79" s="416"/>
      <c r="AE79" s="416"/>
    </row>
    <row r="80" spans="1:31" s="412" customFormat="1" ht="10.5" hidden="1" x14ac:dyDescent="0.25">
      <c r="A80" s="421" t="s">
        <v>6</v>
      </c>
      <c r="C80" s="421">
        <f>ROUND((IF(C$73=0,0,C$79-C$70)*-1)/5,2)*5</f>
        <v>0</v>
      </c>
      <c r="D80" s="421">
        <f>ROUND((IF(D$73=0,0,D$79-D$70)*-1)/5,2)*5</f>
        <v>0</v>
      </c>
      <c r="E80" s="421">
        <f t="shared" ref="E80:H80" si="75">ROUND((IF(E$73=0,0,E$79-E$70)*-1)/5,2)*5</f>
        <v>0</v>
      </c>
      <c r="F80" s="421">
        <f t="shared" si="75"/>
        <v>0</v>
      </c>
      <c r="G80" s="421">
        <f t="shared" si="75"/>
        <v>0</v>
      </c>
      <c r="H80" s="421">
        <f t="shared" si="75"/>
        <v>0</v>
      </c>
      <c r="K80" s="421">
        <f t="shared" ref="K80:P80" si="76">ROUND((IF(K$73=0,0,K$79-K$70)*-1)/5,2)*5</f>
        <v>0</v>
      </c>
      <c r="L80" s="421">
        <f t="shared" si="76"/>
        <v>0</v>
      </c>
      <c r="M80" s="421">
        <f t="shared" si="76"/>
        <v>0</v>
      </c>
      <c r="N80" s="421">
        <f t="shared" si="76"/>
        <v>0</v>
      </c>
      <c r="O80" s="421">
        <f t="shared" si="76"/>
        <v>0</v>
      </c>
      <c r="P80" s="421">
        <f t="shared" si="76"/>
        <v>0</v>
      </c>
      <c r="X80" s="416"/>
      <c r="Y80" s="416"/>
      <c r="Z80" s="416"/>
      <c r="AA80" s="416"/>
      <c r="AB80" s="416"/>
      <c r="AC80" s="416"/>
      <c r="AD80" s="416"/>
      <c r="AE80" s="416"/>
    </row>
    <row r="81" spans="1:31" s="412" customFormat="1" ht="10.5" hidden="1" x14ac:dyDescent="0.25">
      <c r="A81" s="420" t="s">
        <v>162</v>
      </c>
      <c r="C81" s="419">
        <f t="shared" ref="C81:H81" si="77">IF(C$67="oui",0,C$39)</f>
        <v>0</v>
      </c>
      <c r="D81" s="419">
        <f t="shared" si="77"/>
        <v>0</v>
      </c>
      <c r="E81" s="419">
        <f t="shared" si="77"/>
        <v>0</v>
      </c>
      <c r="F81" s="419">
        <f t="shared" si="77"/>
        <v>0</v>
      </c>
      <c r="G81" s="419">
        <f t="shared" si="77"/>
        <v>0</v>
      </c>
      <c r="H81" s="419">
        <f t="shared" si="77"/>
        <v>0</v>
      </c>
      <c r="K81" s="419">
        <f t="shared" ref="K81:P81" si="78">IF(K$67="oui",0,K$39)</f>
        <v>0</v>
      </c>
      <c r="L81" s="419">
        <f t="shared" si="78"/>
        <v>0</v>
      </c>
      <c r="M81" s="419">
        <f t="shared" si="78"/>
        <v>0</v>
      </c>
      <c r="N81" s="419">
        <f t="shared" si="78"/>
        <v>0</v>
      </c>
      <c r="O81" s="419">
        <f t="shared" si="78"/>
        <v>0</v>
      </c>
      <c r="P81" s="419">
        <f t="shared" si="78"/>
        <v>0</v>
      </c>
      <c r="Q81" s="430">
        <f>SUM(C81:P81)</f>
        <v>0</v>
      </c>
      <c r="X81" s="416"/>
      <c r="Y81" s="416"/>
      <c r="Z81" s="416"/>
      <c r="AA81" s="416"/>
      <c r="AB81" s="416"/>
      <c r="AC81" s="416"/>
      <c r="AD81" s="416"/>
      <c r="AE81" s="416"/>
    </row>
    <row r="82" spans="1:31" s="412" customFormat="1" ht="10" x14ac:dyDescent="0.2">
      <c r="X82" s="416"/>
      <c r="Y82" s="416"/>
      <c r="Z82" s="416"/>
      <c r="AA82" s="416"/>
      <c r="AB82" s="416"/>
      <c r="AC82" s="416"/>
      <c r="AD82" s="416"/>
      <c r="AE82" s="416"/>
    </row>
    <row r="83" spans="1:31" s="412" customFormat="1" ht="10" x14ac:dyDescent="0.2">
      <c r="X83" s="416"/>
      <c r="Y83" s="416"/>
      <c r="Z83" s="416"/>
      <c r="AA83" s="416"/>
      <c r="AB83" s="416"/>
      <c r="AC83" s="416"/>
      <c r="AD83" s="416"/>
      <c r="AE83" s="416"/>
    </row>
  </sheetData>
  <sheetProtection algorithmName="SHA-512" hashValue="l/sAeXgl66IbImCE/yGcJdx05n/Iyfp4lK/J/1QdQ1FuIUZC2BKs0vW+gkgTMjQrA/urrC5shK1cu7za0QEgrw==" saltValue="XENawAMi3hSp0JlMKZLKRQ==" spinCount="100000" sheet="1" objects="1" scenarios="1"/>
  <mergeCells count="48">
    <mergeCell ref="O52:O53"/>
    <mergeCell ref="P52:P53"/>
    <mergeCell ref="S24:U26"/>
    <mergeCell ref="S28:U30"/>
    <mergeCell ref="S31:U32"/>
    <mergeCell ref="S33:U35"/>
    <mergeCell ref="S36:U40"/>
    <mergeCell ref="S41:U43"/>
    <mergeCell ref="AB4:AB5"/>
    <mergeCell ref="AC4:AC5"/>
    <mergeCell ref="AD4:AD5"/>
    <mergeCell ref="AH4:AI5"/>
    <mergeCell ref="C6:D6"/>
    <mergeCell ref="F6:G6"/>
    <mergeCell ref="P1:Q3"/>
    <mergeCell ref="A2:C2"/>
    <mergeCell ref="I2:K2"/>
    <mergeCell ref="Y2:Y5"/>
    <mergeCell ref="AA2:AA5"/>
    <mergeCell ref="S4:T4"/>
    <mergeCell ref="X4:X5"/>
    <mergeCell ref="Z4:Z5"/>
    <mergeCell ref="A1:C1"/>
    <mergeCell ref="D1:F2"/>
    <mergeCell ref="G1:H3"/>
    <mergeCell ref="I1:K1"/>
    <mergeCell ref="L1:N2"/>
    <mergeCell ref="C52:C53"/>
    <mergeCell ref="D52:D53"/>
    <mergeCell ref="E52:E53"/>
    <mergeCell ref="F52:F53"/>
    <mergeCell ref="G52:G53"/>
    <mergeCell ref="H52:H53"/>
    <mergeCell ref="K52:K53"/>
    <mergeCell ref="L52:L53"/>
    <mergeCell ref="M52:M53"/>
    <mergeCell ref="N52:N53"/>
    <mergeCell ref="S18:U18"/>
    <mergeCell ref="S20:U22"/>
    <mergeCell ref="C7:D7"/>
    <mergeCell ref="F7:G7"/>
    <mergeCell ref="F14:G14"/>
    <mergeCell ref="F15:G15"/>
    <mergeCell ref="F16:G16"/>
    <mergeCell ref="C8:D8"/>
    <mergeCell ref="F8:G8"/>
    <mergeCell ref="C9:D9"/>
    <mergeCell ref="F9:G9"/>
  </mergeCells>
  <conditionalFormatting sqref="A25">
    <cfRule type="beginsWith" dxfId="79" priority="34" operator="beginsWith" text="Nom">
      <formula>LEFT(A25,LEN("Nom"))="Nom"</formula>
    </cfRule>
  </conditionalFormatting>
  <conditionalFormatting sqref="A26">
    <cfRule type="containsText" dxfId="78" priority="8" operator="containsText" text="Nombre d'heures">
      <formula>NOT(ISERROR(SEARCH("Nombre d'heures",A26)))</formula>
    </cfRule>
  </conditionalFormatting>
  <conditionalFormatting sqref="A28">
    <cfRule type="containsText" dxfId="77" priority="36" operator="containsText" text="Nombre d'heures II">
      <formula>NOT(ISERROR(SEARCH("Nombre d'heures II",A28)))</formula>
    </cfRule>
  </conditionalFormatting>
  <conditionalFormatting sqref="A24:B24">
    <cfRule type="expression" dxfId="76" priority="33">
      <formula>$G$11="oui"</formula>
    </cfRule>
  </conditionalFormatting>
  <conditionalFormatting sqref="A25:B25">
    <cfRule type="expression" dxfId="75" priority="31">
      <formula>$P$10&gt;0.1</formula>
    </cfRule>
  </conditionalFormatting>
  <conditionalFormatting sqref="A50:B50">
    <cfRule type="expression" dxfId="74" priority="32">
      <formula>$G$11="ja"</formula>
    </cfRule>
  </conditionalFormatting>
  <conditionalFormatting sqref="A60:B64">
    <cfRule type="expression" dxfId="73" priority="27">
      <formula>$G$12="non"</formula>
    </cfRule>
  </conditionalFormatting>
  <conditionalFormatting sqref="B25">
    <cfRule type="beginsWith" dxfId="72" priority="28" operator="beginsWith" text="Nb">
      <formula>LEFT(B25,LEN("Nb"))="Nb"</formula>
    </cfRule>
  </conditionalFormatting>
  <conditionalFormatting sqref="B26">
    <cfRule type="containsText" dxfId="71" priority="7" operator="containsText" text="h">
      <formula>NOT(ISERROR(SEARCH("h",B26)))</formula>
    </cfRule>
  </conditionalFormatting>
  <conditionalFormatting sqref="B28">
    <cfRule type="containsText" dxfId="70" priority="29" operator="containsText" text="h">
      <formula>NOT(ISERROR(SEARCH("h",B28)))</formula>
    </cfRule>
  </conditionalFormatting>
  <conditionalFormatting sqref="C17">
    <cfRule type="expression" dxfId="69" priority="83">
      <formula>$A$17="13ème salaire"</formula>
    </cfRule>
  </conditionalFormatting>
  <conditionalFormatting sqref="C22:H22">
    <cfRule type="cellIs" dxfId="68" priority="20" operator="greaterThan">
      <formula>1</formula>
    </cfRule>
  </conditionalFormatting>
  <conditionalFormatting sqref="C23:H23 K23:P23">
    <cfRule type="expression" dxfId="67" priority="48">
      <formula>$B$23="CHF"</formula>
    </cfRule>
  </conditionalFormatting>
  <conditionalFormatting sqref="C24:H24 K24:P24">
    <cfRule type="expression" dxfId="66" priority="73">
      <formula>$G$11="ja"</formula>
    </cfRule>
  </conditionalFormatting>
  <conditionalFormatting sqref="C25:H25 K25:P25">
    <cfRule type="expression" dxfId="65" priority="59">
      <formula>$B$25="Anz."</formula>
    </cfRule>
  </conditionalFormatting>
  <conditionalFormatting sqref="C26:H26">
    <cfRule type="expression" dxfId="64" priority="10">
      <formula>$G$12="oui"</formula>
    </cfRule>
    <cfRule type="expression" dxfId="63" priority="11">
      <formula>$C$16="Salaire horaire"</formula>
    </cfRule>
  </conditionalFormatting>
  <conditionalFormatting sqref="C28:H28 K28:P28">
    <cfRule type="expression" dxfId="62" priority="74">
      <formula>$G$10="Ja"</formula>
    </cfRule>
  </conditionalFormatting>
  <conditionalFormatting sqref="C50:H50">
    <cfRule type="expression" dxfId="61" priority="66">
      <formula>C51&lt;-0.01</formula>
    </cfRule>
    <cfRule type="expression" dxfId="60" priority="65">
      <formula>C51&gt;0.01</formula>
    </cfRule>
  </conditionalFormatting>
  <conditionalFormatting sqref="C51:H51">
    <cfRule type="cellIs" dxfId="59" priority="70" operator="greaterThan">
      <formula>0.04</formula>
    </cfRule>
    <cfRule type="cellIs" dxfId="58" priority="69" operator="lessThan">
      <formula>-0.04</formula>
    </cfRule>
  </conditionalFormatting>
  <conditionalFormatting sqref="C60:Q63 C64:P64">
    <cfRule type="expression" dxfId="57" priority="62">
      <formula>$G$12="nein"</formula>
    </cfRule>
  </conditionalFormatting>
  <conditionalFormatting sqref="G1">
    <cfRule type="containsText" dxfId="56" priority="117" operator="containsText" text="Achtung Fehler">
      <formula>NOT(ISERROR(SEARCH("Achtung Fehler",G1)))</formula>
    </cfRule>
  </conditionalFormatting>
  <conditionalFormatting sqref="G10">
    <cfRule type="expression" dxfId="55" priority="52">
      <formula>$C$16="Salaire horaire"</formula>
    </cfRule>
  </conditionalFormatting>
  <conditionalFormatting sqref="H17:H18">
    <cfRule type="beginsWith" dxfId="54" priority="44" operator="beginsWith" text="ATT">
      <formula>LEFT(H17,LEN("ATT"))="ATT"</formula>
    </cfRule>
  </conditionalFormatting>
  <conditionalFormatting sqref="I25">
    <cfRule type="beginsWith" dxfId="53" priority="50" operator="beginsWith" text="Nom">
      <formula>LEFT(I25,LEN("Nom"))="Nom"</formula>
    </cfRule>
  </conditionalFormatting>
  <conditionalFormatting sqref="I26">
    <cfRule type="containsText" dxfId="52" priority="13" operator="containsText" text="Nombre d'heures">
      <formula>NOT(ISERROR(SEARCH("Nombre d'heures",I26)))</formula>
    </cfRule>
  </conditionalFormatting>
  <conditionalFormatting sqref="I28">
    <cfRule type="containsText" dxfId="51" priority="58" operator="containsText" text="Nombre d'heures II">
      <formula>NOT(ISERROR(SEARCH("Nombre d'heures II",I28)))</formula>
    </cfRule>
  </conditionalFormatting>
  <conditionalFormatting sqref="I24:J24">
    <cfRule type="expression" dxfId="50" priority="61">
      <formula>$G$11="oui"</formula>
    </cfRule>
  </conditionalFormatting>
  <conditionalFormatting sqref="I25:J25">
    <cfRule type="expression" dxfId="49" priority="51">
      <formula>$P$10&gt;0.1</formula>
    </cfRule>
  </conditionalFormatting>
  <conditionalFormatting sqref="I50:J50">
    <cfRule type="expression" dxfId="48" priority="60">
      <formula>$G$11="ja"</formula>
    </cfRule>
  </conditionalFormatting>
  <conditionalFormatting sqref="J25">
    <cfRule type="beginsWith" dxfId="47" priority="49" operator="beginsWith" text="Anz">
      <formula>LEFT(J25,LEN("Anz"))="Anz"</formula>
    </cfRule>
  </conditionalFormatting>
  <conditionalFormatting sqref="J26">
    <cfRule type="containsText" dxfId="46" priority="12" operator="containsText" text="h">
      <formula>NOT(ISERROR(SEARCH("h",J26)))</formula>
    </cfRule>
  </conditionalFormatting>
  <conditionalFormatting sqref="J28">
    <cfRule type="containsText" dxfId="45" priority="53" operator="containsText" text="Std.">
      <formula>NOT(ISERROR(SEARCH("Std.",J28)))</formula>
    </cfRule>
    <cfRule type="containsText" dxfId="44" priority="54" operator="containsText" text="Std.">
      <formula>NOT(ISERROR(SEARCH("Std.",J28)))</formula>
    </cfRule>
    <cfRule type="containsText" dxfId="43" priority="55" operator="containsText" text="Std.">
      <formula>NOT(ISERROR(SEARCH("Std.",J28)))</formula>
    </cfRule>
  </conditionalFormatting>
  <conditionalFormatting sqref="K22:P22">
    <cfRule type="cellIs" dxfId="42" priority="21" operator="greaterThan">
      <formula>1</formula>
    </cfRule>
  </conditionalFormatting>
  <conditionalFormatting sqref="K26:P26">
    <cfRule type="expression" dxfId="41" priority="14">
      <formula>$G$12="oui"</formula>
    </cfRule>
    <cfRule type="expression" dxfId="40" priority="15">
      <formula>$C$16="Salaire horaire"</formula>
    </cfRule>
  </conditionalFormatting>
  <conditionalFormatting sqref="K50:P50">
    <cfRule type="expression" dxfId="39" priority="63">
      <formula>K51&gt;0.01</formula>
    </cfRule>
    <cfRule type="expression" dxfId="38" priority="64">
      <formula>K51&lt;-0.01</formula>
    </cfRule>
  </conditionalFormatting>
  <conditionalFormatting sqref="K51:P51">
    <cfRule type="cellIs" dxfId="37" priority="67" operator="lessThan">
      <formula>-0.04</formula>
    </cfRule>
    <cfRule type="cellIs" dxfId="36" priority="68" operator="greaterThan">
      <formula>0.04</formula>
    </cfRule>
  </conditionalFormatting>
  <conditionalFormatting sqref="L7">
    <cfRule type="expression" dxfId="35" priority="39">
      <formula>$C$16="à choisir"</formula>
    </cfRule>
  </conditionalFormatting>
  <conditionalFormatting sqref="L12">
    <cfRule type="expression" dxfId="34" priority="42">
      <formula>$G$10="oui"</formula>
    </cfRule>
  </conditionalFormatting>
  <conditionalFormatting sqref="M8">
    <cfRule type="expression" dxfId="33" priority="38">
      <formula>$C$16="Salaire horaire"</formula>
    </cfRule>
    <cfRule type="expression" dxfId="32" priority="37">
      <formula>$C$16="salaire mensuel"</formula>
    </cfRule>
  </conditionalFormatting>
  <conditionalFormatting sqref="M13">
    <cfRule type="expression" dxfId="31" priority="40">
      <formula>$G$10="oui"</formula>
    </cfRule>
  </conditionalFormatting>
  <conditionalFormatting sqref="P1">
    <cfRule type="containsText" dxfId="30" priority="116" operator="containsText" text="Achtung Fehler">
      <formula>NOT(ISERROR(SEARCH("Achtung Fehler",P1)))</formula>
    </cfRule>
  </conditionalFormatting>
  <conditionalFormatting sqref="P7">
    <cfRule type="expression" dxfId="29" priority="41">
      <formula>$Q$7="du Sal.horaire"</formula>
    </cfRule>
  </conditionalFormatting>
  <conditionalFormatting sqref="P10">
    <cfRule type="expression" dxfId="28" priority="43">
      <formula>$Q$10="heures"</formula>
    </cfRule>
  </conditionalFormatting>
  <conditionalFormatting sqref="Q64">
    <cfRule type="expression" dxfId="27" priority="26">
      <formula>$G$12="non"</formula>
    </cfRule>
  </conditionalFormatting>
  <conditionalFormatting sqref="S20">
    <cfRule type="beginsWith" dxfId="26" priority="5" operator="beginsWith" text="Vereinfachtes">
      <formula>LEFT(S20,LEN("Vereinfachtes"))="Vereinfachtes"</formula>
    </cfRule>
    <cfRule type="beginsWith" dxfId="25" priority="4" operator="beginsWith" text="Hinweis">
      <formula>LEFT(S20,LEN("Hinweis"))="Hinweis"</formula>
    </cfRule>
    <cfRule type="beginsWith" dxfId="24" priority="3" operator="beginsWith" text="ACHTUNG">
      <formula>LEFT(S20,LEN("ACHTUNG"))="ACHTUNG"</formula>
    </cfRule>
  </conditionalFormatting>
  <conditionalFormatting sqref="S24">
    <cfRule type="beginsWith" dxfId="23" priority="2" operator="beginsWith" text="ACHTUNG">
      <formula>LEFT(S24,LEN("ACHTUNG"))="ACHTUNG"</formula>
    </cfRule>
  </conditionalFormatting>
  <conditionalFormatting sqref="S28">
    <cfRule type="beginsWith" dxfId="22" priority="1" operator="beginsWith" text="ACHTUNG">
      <formula>LEFT(S28,LEN("ACHTUNG"))="ACHTUNG"</formula>
    </cfRule>
  </conditionalFormatting>
  <conditionalFormatting sqref="S36:S37">
    <cfRule type="beginsWith" dxfId="21" priority="6" operator="beginsWith" text="ACHTUNG">
      <formula>LEFT(S36,LEN("ACHTUNG"))="ACHTUNG"</formula>
    </cfRule>
  </conditionalFormatting>
  <conditionalFormatting sqref="W1:AJ10 W11:X12 Z11:AJ12">
    <cfRule type="expression" dxfId="20" priority="45">
      <formula>W1&lt;&gt;""</formula>
    </cfRule>
  </conditionalFormatting>
  <conditionalFormatting sqref="W13:AJ1048576">
    <cfRule type="expression" dxfId="19" priority="9">
      <formula>W13&lt;&gt;""</formula>
    </cfRule>
  </conditionalFormatting>
  <dataValidations count="7">
    <dataValidation type="list" allowBlank="1" showInputMessage="1" showErrorMessage="1" sqref="F9:G9" xr:uid="{35D64C89-8ECC-48AE-8F1E-B64084E5F3CA}">
      <formula1>$AB$6:$AB$19</formula1>
    </dataValidation>
    <dataValidation type="list" allowBlank="1" showInputMessage="1" showErrorMessage="1" sqref="G10" xr:uid="{8E6C7D55-028D-4175-8CE1-0BAEDA806812}">
      <formula1>$AC$13:$AC$14</formula1>
    </dataValidation>
    <dataValidation type="list" allowBlank="1" showInputMessage="1" showErrorMessage="1" sqref="C17" xr:uid="{62CA9C07-E291-4C73-9D49-3D09A657A30B}">
      <formula1>$Y$11:$Y$12</formula1>
    </dataValidation>
    <dataValidation type="list" allowBlank="1" showInputMessage="1" showErrorMessage="1" sqref="C10" xr:uid="{F713C353-A3AA-46F1-87B2-DF5FFAEF3940}">
      <formula1>$X$6:$X$8</formula1>
    </dataValidation>
    <dataValidation type="list" allowBlank="1" showInputMessage="1" showErrorMessage="1" sqref="C16" xr:uid="{2317677F-AB9C-4018-929B-B04B3E4C139D}">
      <formula1>$X$11:$X$13</formula1>
    </dataValidation>
    <dataValidation type="list" allowBlank="1" showInputMessage="1" showErrorMessage="1" sqref="G11:G12" xr:uid="{AAF75802-0CF3-4815-B1F8-8D01631E0525}">
      <formula1>$AH$6:$AH$8</formula1>
    </dataValidation>
    <dataValidation type="list" allowBlank="1" showInputMessage="1" showErrorMessage="1" sqref="G13" xr:uid="{6574CF4E-06DE-4A1E-9CB2-4B47FBDF6817}">
      <formula1>$Y$6:$Y$8</formula1>
    </dataValidation>
  </dataValidations>
  <hyperlinks>
    <hyperlink ref="P1:Q3" location="Fehler1" display="Fehler1" xr:uid="{42BF48B9-0564-4D17-BFA6-4C1838D7A9AE}"/>
    <hyperlink ref="G1:H3" location="Fehler1" display="Fehler1" xr:uid="{4795A37B-5182-42C3-8C23-89601380BA1B}"/>
  </hyperlinks>
  <pageMargins left="0.23622047244094491" right="0.23622047244094491" top="0.74803149606299213" bottom="0.74803149606299213" header="0.31496062992125984" footer="0.31496062992125984"/>
  <pageSetup paperSize="9" scale="81" fitToWidth="2" pageOrder="overThenDown" orientation="portrait" r:id="rId1"/>
  <headerFooter>
    <oddHeader>&amp;R&amp;"Arial,Standard"&amp;9Koordinationsstelle &amp;"MS Sans Serif,Standard"&amp;10
&amp;"Arial,Fett"&amp;9Berner Modell&amp;"Arial,Standard" - freie Lebensgestaltung von Menschen mit Behinderungen
HelpLine 031 300 33 70 / info@bernermodell.ch</oddHeader>
    <oddFooter>&amp;L&amp;"Arial,Standard"&amp;9Seite &amp;P von &amp;N&amp;R&amp;"Arial,Standard"&amp;9Lohnprogramm V10.0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61">
    <tabColor theme="6" tint="0.59999389629810485"/>
    <pageSetUpPr fitToPage="1"/>
  </sheetPr>
  <dimension ref="A1:L55"/>
  <sheetViews>
    <sheetView showGridLines="0" showZeros="0" showOutlineSymbols="0" zoomScaleNormal="100" workbookViewId="0">
      <selection activeCell="A9" sqref="A9:B9"/>
    </sheetView>
  </sheetViews>
  <sheetFormatPr baseColWidth="10" defaultColWidth="11.453125" defaultRowHeight="12.5" x14ac:dyDescent="0.25"/>
  <cols>
    <col min="1" max="2" width="18.7265625" style="1" customWidth="1"/>
    <col min="3" max="4" width="11.7265625" style="1" customWidth="1"/>
    <col min="5" max="5" width="0.81640625" style="1" customWidth="1"/>
    <col min="6" max="7" width="10.26953125" style="1" customWidth="1"/>
    <col min="8" max="8" width="4.7265625" style="1" customWidth="1"/>
    <col min="9" max="9" width="15.7265625" style="1" customWidth="1" collapsed="1"/>
    <col min="10" max="10" width="11.453125" style="1"/>
    <col min="11" max="11" width="0" style="1" hidden="1" customWidth="1"/>
    <col min="12" max="12" width="47.7265625" style="1" customWidth="1"/>
    <col min="13" max="16384" width="11.453125" style="1"/>
  </cols>
  <sheetData>
    <row r="1" spans="1:12" ht="12.75" customHeight="1" x14ac:dyDescent="0.25">
      <c r="A1" s="521"/>
      <c r="B1" s="521"/>
      <c r="C1" s="521"/>
      <c r="D1" s="162"/>
      <c r="E1" s="162"/>
      <c r="F1" s="523" t="s">
        <v>163</v>
      </c>
      <c r="G1" s="523"/>
      <c r="H1" s="523"/>
      <c r="I1" s="523"/>
    </row>
    <row r="2" spans="1:12" ht="12.75" customHeight="1" x14ac:dyDescent="0.25">
      <c r="A2" s="521"/>
      <c r="B2" s="521"/>
      <c r="C2" s="521"/>
      <c r="D2" s="162"/>
      <c r="E2" s="162"/>
      <c r="F2" s="523"/>
      <c r="G2" s="523"/>
      <c r="H2" s="523"/>
      <c r="I2" s="523"/>
    </row>
    <row r="3" spans="1:12" ht="12.75" customHeight="1" x14ac:dyDescent="0.25">
      <c r="A3" s="521"/>
      <c r="B3" s="521"/>
      <c r="C3" s="521"/>
      <c r="D3" s="162"/>
      <c r="E3" s="162"/>
      <c r="F3" s="523"/>
      <c r="G3" s="523"/>
      <c r="H3" s="523"/>
      <c r="I3" s="523"/>
    </row>
    <row r="4" spans="1:12" ht="12.75" customHeight="1" x14ac:dyDescent="0.3">
      <c r="A4" s="160"/>
      <c r="B4" s="160"/>
      <c r="C4" s="160"/>
      <c r="D4" s="162"/>
      <c r="E4" s="162"/>
      <c r="F4" s="523"/>
      <c r="G4" s="523"/>
      <c r="H4" s="523"/>
      <c r="I4" s="523"/>
    </row>
    <row r="5" spans="1:12" ht="14.5" thickBot="1" x14ac:dyDescent="0.35">
      <c r="B5" s="25"/>
      <c r="C5" s="25"/>
      <c r="F5" s="25"/>
    </row>
    <row r="6" spans="1:12" ht="13" x14ac:dyDescent="0.3">
      <c r="A6" s="24"/>
      <c r="F6" s="35" t="s">
        <v>164</v>
      </c>
      <c r="G6" s="26"/>
      <c r="H6" s="524">
        <f ca="1">TODAY()</f>
        <v>45996</v>
      </c>
      <c r="I6" s="525"/>
      <c r="L6" s="43" t="s">
        <v>165</v>
      </c>
    </row>
    <row r="7" spans="1:12" x14ac:dyDescent="0.25">
      <c r="F7" s="36" t="s">
        <v>166</v>
      </c>
      <c r="G7" s="2"/>
      <c r="H7" s="492"/>
      <c r="I7" s="503"/>
      <c r="L7" s="44" t="s">
        <v>167</v>
      </c>
    </row>
    <row r="8" spans="1:12" x14ac:dyDescent="0.25">
      <c r="A8" s="522" t="s">
        <v>168</v>
      </c>
      <c r="B8" s="522"/>
      <c r="F8" s="89" t="s">
        <v>169</v>
      </c>
      <c r="G8" s="3"/>
      <c r="H8" s="92"/>
      <c r="I8" s="90"/>
      <c r="L8" s="45" t="str">
        <f>"- lorsque le salaire annuel brut dépasse CHF " &amp;Grundlagen!$B$8</f>
        <v>- lorsque le salaire annuel brut dépasse CHF 22680</v>
      </c>
    </row>
    <row r="9" spans="1:12" x14ac:dyDescent="0.25">
      <c r="A9" s="492"/>
      <c r="B9" s="492"/>
      <c r="C9" s="2"/>
      <c r="F9" s="4"/>
      <c r="L9" s="46" t="s">
        <v>170</v>
      </c>
    </row>
    <row r="10" spans="1:12" x14ac:dyDescent="0.25">
      <c r="A10" s="492"/>
      <c r="B10" s="492"/>
      <c r="C10" s="2"/>
      <c r="F10" s="5" t="s">
        <v>171</v>
      </c>
      <c r="H10" s="5"/>
      <c r="L10" s="46" t="s">
        <v>172</v>
      </c>
    </row>
    <row r="11" spans="1:12" x14ac:dyDescent="0.25">
      <c r="A11" s="492"/>
      <c r="B11" s="492"/>
      <c r="C11" s="2"/>
      <c r="L11" s="46" t="str">
        <f>"personnel dépasse CHF "&amp; Grundlagen!$B$9</f>
        <v>personnel dépasse CHF 58800</v>
      </c>
    </row>
    <row r="12" spans="1:12" x14ac:dyDescent="0.25">
      <c r="A12" s="492"/>
      <c r="B12" s="492"/>
      <c r="C12" s="2"/>
      <c r="F12" s="35" t="s">
        <v>173</v>
      </c>
      <c r="G12" s="91"/>
      <c r="H12" s="91"/>
      <c r="I12" s="163"/>
      <c r="L12" s="46" t="s">
        <v>174</v>
      </c>
    </row>
    <row r="13" spans="1:12" x14ac:dyDescent="0.25">
      <c r="A13" s="492"/>
      <c r="B13" s="492"/>
      <c r="C13" s="2"/>
      <c r="F13" s="502"/>
      <c r="G13" s="492"/>
      <c r="H13" s="492"/>
      <c r="I13" s="503"/>
      <c r="L13" s="46" t="s">
        <v>175</v>
      </c>
    </row>
    <row r="14" spans="1:12" x14ac:dyDescent="0.25">
      <c r="A14" s="492"/>
      <c r="B14" s="492"/>
      <c r="C14" s="2"/>
      <c r="F14" s="502"/>
      <c r="G14" s="492"/>
      <c r="H14" s="492"/>
      <c r="I14" s="503"/>
      <c r="L14" s="45" t="s">
        <v>176</v>
      </c>
    </row>
    <row r="15" spans="1:12" ht="13" x14ac:dyDescent="0.3">
      <c r="A15" s="24"/>
      <c r="F15" s="502"/>
      <c r="G15" s="492"/>
      <c r="H15" s="492"/>
      <c r="I15" s="503"/>
      <c r="L15" s="47" t="s">
        <v>177</v>
      </c>
    </row>
    <row r="16" spans="1:12" ht="12.75" customHeight="1" x14ac:dyDescent="0.25">
      <c r="A16" s="24"/>
      <c r="F16" s="508"/>
      <c r="G16" s="509"/>
      <c r="H16" s="509"/>
      <c r="I16" s="510"/>
      <c r="L16" s="519" t="s">
        <v>178</v>
      </c>
    </row>
    <row r="17" spans="1:12" ht="27" customHeight="1" x14ac:dyDescent="0.5">
      <c r="A17" s="34" t="s">
        <v>179</v>
      </c>
      <c r="L17" s="519"/>
    </row>
    <row r="18" spans="1:12" x14ac:dyDescent="0.25">
      <c r="A18" s="520" t="str">
        <f>IF(OR(H25="La LTN ne doit pas être utilisée!",H27="La LTN ne doit pas être utilisée!",H29="La LTN ne doit pas être utilisée!",H31="La LTN ne doit pas être utilisée!",H33="La LTN ne doit pas être utilisée!",H35="La LTN ne doit pas être utilisée!",H37="La LTN ne doit pas être utilisée!",H43="La LTN ne doit pas être utilisée!",H39="La LTN ne doit pas être utilisée!",H41="La LTN ne doit pas être utilisée!"),"La procédure de décompte ordinaire doit être appliquée pour tous!","")</f>
        <v/>
      </c>
      <c r="B18" s="520"/>
      <c r="C18" s="520"/>
      <c r="D18" s="520"/>
      <c r="E18" s="520"/>
      <c r="F18" s="520"/>
      <c r="G18" s="520"/>
      <c r="H18" s="520"/>
      <c r="I18" s="520"/>
      <c r="L18" s="171"/>
    </row>
    <row r="19" spans="1:12" ht="12.75" customHeight="1" x14ac:dyDescent="0.25">
      <c r="A19" s="520"/>
      <c r="B19" s="520"/>
      <c r="C19" s="520"/>
      <c r="D19" s="520"/>
      <c r="E19" s="520"/>
      <c r="F19" s="520"/>
      <c r="G19" s="520"/>
      <c r="H19" s="520"/>
      <c r="I19" s="520"/>
      <c r="L19" s="44" t="s">
        <v>180</v>
      </c>
    </row>
    <row r="20" spans="1:12" x14ac:dyDescent="0.25">
      <c r="A20" s="520"/>
      <c r="B20" s="520"/>
      <c r="C20" s="520"/>
      <c r="D20" s="520"/>
      <c r="E20" s="520"/>
      <c r="F20" s="520"/>
      <c r="G20" s="520"/>
      <c r="H20" s="520"/>
      <c r="I20" s="520"/>
      <c r="L20" s="168" t="s">
        <v>181</v>
      </c>
    </row>
    <row r="21" spans="1:12" ht="13" thickBot="1" x14ac:dyDescent="0.3">
      <c r="A21" s="3"/>
      <c r="B21" s="3"/>
      <c r="C21" s="3"/>
      <c r="D21" s="3"/>
      <c r="E21" s="3"/>
      <c r="F21" s="3"/>
      <c r="G21" s="50" t="s">
        <v>182</v>
      </c>
      <c r="H21" s="518">
        <f>'PA 1'!A21</f>
        <v>46387</v>
      </c>
      <c r="I21" s="518"/>
      <c r="L21" s="185"/>
    </row>
    <row r="22" spans="1:12" s="164" customFormat="1" ht="25.5" customHeight="1" x14ac:dyDescent="0.3">
      <c r="A22" s="35" t="s">
        <v>183</v>
      </c>
      <c r="B22" s="16"/>
      <c r="C22" s="173"/>
      <c r="D22" s="174"/>
      <c r="E22" s="178"/>
      <c r="F22" s="511" t="s">
        <v>184</v>
      </c>
      <c r="G22" s="511"/>
      <c r="H22" s="512" t="s">
        <v>185</v>
      </c>
      <c r="I22" s="513"/>
      <c r="L22" s="1"/>
    </row>
    <row r="23" spans="1:12" s="164" customFormat="1" ht="12.75" customHeight="1" x14ac:dyDescent="0.3">
      <c r="A23" s="36" t="s">
        <v>186</v>
      </c>
      <c r="B23" s="17"/>
      <c r="C23" s="18" t="s">
        <v>187</v>
      </c>
      <c r="D23" s="177"/>
      <c r="E23" s="8"/>
      <c r="F23" s="181" t="s">
        <v>188</v>
      </c>
      <c r="G23" s="13" t="s">
        <v>189</v>
      </c>
      <c r="H23" s="514"/>
      <c r="I23" s="515"/>
      <c r="L23" s="1"/>
    </row>
    <row r="24" spans="1:12" s="164" customFormat="1" ht="13" x14ac:dyDescent="0.3">
      <c r="A24" s="37" t="s">
        <v>190</v>
      </c>
      <c r="B24" s="19"/>
      <c r="C24" s="20" t="s">
        <v>191</v>
      </c>
      <c r="D24" s="9"/>
      <c r="E24" s="10"/>
      <c r="F24" s="182" t="s">
        <v>192</v>
      </c>
      <c r="G24" s="9" t="s">
        <v>192</v>
      </c>
      <c r="H24" s="516"/>
      <c r="I24" s="517"/>
      <c r="L24" s="1"/>
    </row>
    <row r="25" spans="1:12" ht="15" customHeight="1" x14ac:dyDescent="0.25">
      <c r="A25" s="38" t="str">
        <f>CONCATENATE('PA 1'!$C$6,$K$25,'PA 1'!$C$7)</f>
        <v xml:space="preserve">, </v>
      </c>
      <c r="B25" s="7"/>
      <c r="C25" s="14">
        <f>'PA 1'!$F$7</f>
        <v>0</v>
      </c>
      <c r="D25" s="184" t="str">
        <f>IF('PA 1'!$C$10="Bitte auswählen","",IF('PA 1'!$C$10="weiblich","w","m"))</f>
        <v>m</v>
      </c>
      <c r="E25" s="40"/>
      <c r="F25" s="11"/>
      <c r="G25" s="14"/>
      <c r="H25" s="504">
        <f>IF(DATEDIF(C25,'PA 1'!$C$21,"Y")&lt;17,0,IF(OR('PA 1'!$U$2&gt;Grundlagen!$B$8-0.01,'PA 1'!$Q$38+'PA 1'!$Q$39&gt;Grundlagen!$B$8-0.01),"La LTN ne doit pas être utilisée!",IF('PA 1'!$AG$3&lt;Grundlagen!$B$8-0.01,'PA 1'!$Q$39+'PA 1'!$Q$38,'PA 1'!Q$39)))</f>
        <v>0</v>
      </c>
      <c r="I25" s="505"/>
      <c r="K25" s="1" t="s">
        <v>193</v>
      </c>
    </row>
    <row r="26" spans="1:12" ht="15" customHeight="1" x14ac:dyDescent="0.3">
      <c r="A26" s="37">
        <f>'PA 1'!$C$8</f>
        <v>0</v>
      </c>
      <c r="B26" s="10">
        <f>'PA 1'!$C$9</f>
        <v>0</v>
      </c>
      <c r="C26" s="500">
        <f>'PA 1'!$F$6</f>
        <v>0</v>
      </c>
      <c r="D26" s="501"/>
      <c r="E26" s="139"/>
      <c r="F26" s="183">
        <f>IF('PA 1'!$Q$37=0,0,IF('PA 1'!$C$14&lt;'PA 1'!$C$21,'PA 1'!$C$21,'PA 1'!$C$14))</f>
        <v>0</v>
      </c>
      <c r="G26" s="15">
        <f>IF('PA 1'!$Q$37=0,0,IF('PA 1'!$C$15&gt;0,'PA 1'!$C$15,$H$21))</f>
        <v>0</v>
      </c>
      <c r="H26" s="506"/>
      <c r="I26" s="507"/>
      <c r="J26" s="169" t="str">
        <f>IF(AND(H25=0,C25=0),"",IF(H25=0,"Lohnausweis erstellen!!",""))</f>
        <v/>
      </c>
    </row>
    <row r="27" spans="1:12" ht="15" customHeight="1" x14ac:dyDescent="0.25">
      <c r="A27" s="38" t="str">
        <f>CONCATENATE('PA 2'!$C$6,$K$25,'PA 2'!$C$7)</f>
        <v xml:space="preserve">, </v>
      </c>
      <c r="B27" s="7"/>
      <c r="C27" s="14">
        <f>'PA 2'!$F$7</f>
        <v>0</v>
      </c>
      <c r="D27" s="184" t="str">
        <f>IF('PA 2'!$C$10="Bitte auswählen","",IF('PA 2'!$C$10="weiblich","w","m"))</f>
        <v>m</v>
      </c>
      <c r="E27" s="40"/>
      <c r="F27" s="11"/>
      <c r="G27" s="14"/>
      <c r="H27" s="504">
        <f>IF(DATEDIF(C25,'PA 2'!$C$21,"Y")&lt;17,0,IF(OR('PA 2'!$U$2&gt;Grundlagen!$B$8-0.01,'PA 2'!$Q$38+'PA 2'!$Q$39&gt;Grundlagen!$B$8-0.01),"La LTN ne doit pas être utilisée!",IF('PA 2'!$AG$3&lt;Grundlagen!$B$8-0.01,'PA 2'!$Q$39+'PA 2'!$Q$38,'PA 2'!Q$39)))</f>
        <v>0</v>
      </c>
      <c r="I27" s="505"/>
    </row>
    <row r="28" spans="1:12" ht="15" customHeight="1" x14ac:dyDescent="0.3">
      <c r="A28" s="37">
        <f>'PA 2'!$C$8</f>
        <v>0</v>
      </c>
      <c r="B28" s="10">
        <f>'PA 2'!$C$9</f>
        <v>0</v>
      </c>
      <c r="C28" s="500">
        <f>'PA 2'!$F$6</f>
        <v>0</v>
      </c>
      <c r="D28" s="501"/>
      <c r="E28" s="139"/>
      <c r="F28" s="183">
        <f>IF('PA 2'!$Q$37=0,0,IF('PA 2'!$C$14&lt;'PA 2'!$C$21,'PA 2'!$C$21,'PA 2'!$C$14))</f>
        <v>0</v>
      </c>
      <c r="G28" s="15">
        <f>IF('PA 2'!$Q$37=0,0,IF('PA 2'!$C$15&gt;0,'PA 2'!$C$15,$H$21))</f>
        <v>0</v>
      </c>
      <c r="H28" s="506"/>
      <c r="I28" s="507"/>
      <c r="J28" s="169" t="str">
        <f>IF(AND(H27=0,C27=0),"",IF(H27=0,"Lohnausweis erstellen!!",""))</f>
        <v/>
      </c>
    </row>
    <row r="29" spans="1:12" ht="15" customHeight="1" x14ac:dyDescent="0.25">
      <c r="A29" s="38" t="str">
        <f>CONCATENATE('PA 3'!$C$6,$K$25,'PA 3'!$C$7)</f>
        <v xml:space="preserve">, </v>
      </c>
      <c r="B29" s="7"/>
      <c r="C29" s="14">
        <f>'PA 3'!$F$7</f>
        <v>0</v>
      </c>
      <c r="D29" s="184" t="str">
        <f>IF('PA 3'!$C$10="Bitte auswählen","",IF('PA 3'!$C$10="weiblich","w","m"))</f>
        <v>m</v>
      </c>
      <c r="E29" s="40"/>
      <c r="F29" s="11"/>
      <c r="G29" s="14"/>
      <c r="H29" s="504">
        <f>IF(DATEDIF(C25,'PA 3'!$C$21,"Y")&lt;17,0,IF(OR('PA 3'!$U$2&gt;Grundlagen!$B$8-0.01,'PA 3'!$Q$38+'PA 3'!$Q$39&gt;Grundlagen!$B$8-0.01),"La LTN ne doit pas être utilisée!",IF('PA 3'!$AG$3&lt;Grundlagen!$B$8-0.01,'PA 3'!$Q$39+'PA 3'!$Q$38,'PA 3'!Q$39)))</f>
        <v>0</v>
      </c>
      <c r="I29" s="505"/>
    </row>
    <row r="30" spans="1:12" ht="15" customHeight="1" x14ac:dyDescent="0.3">
      <c r="A30" s="37">
        <f>'PA 3'!$C$8</f>
        <v>0</v>
      </c>
      <c r="B30" s="10">
        <f>'PA 3'!$C$9</f>
        <v>0</v>
      </c>
      <c r="C30" s="500">
        <f>'PA 3'!$F$6</f>
        <v>0</v>
      </c>
      <c r="D30" s="501"/>
      <c r="E30" s="139"/>
      <c r="F30" s="183">
        <f>IF('PA 3'!$Q$37=0,0,IF('PA 3'!$C$14&lt;'PA 3'!$C$21,'PA 3'!$C$21,'PA 3'!$C$14))</f>
        <v>0</v>
      </c>
      <c r="G30" s="15">
        <f>IF('PA 3'!$Q$37=0,0,IF('PA 3'!$C$15&gt;0,'PA 3'!$C$15,$H$21))</f>
        <v>0</v>
      </c>
      <c r="H30" s="506"/>
      <c r="I30" s="507"/>
      <c r="J30" s="169" t="str">
        <f>IF(AND(H29=0,C29=0),"",IF(H29=0,"Lohnausweis erstellen!!",""))</f>
        <v/>
      </c>
    </row>
    <row r="31" spans="1:12" ht="15" customHeight="1" x14ac:dyDescent="0.25">
      <c r="A31" s="38" t="str">
        <f>CONCATENATE('PA 4'!$C$6,$K$25,'PA 4'!$C$7)</f>
        <v xml:space="preserve">, </v>
      </c>
      <c r="B31" s="7"/>
      <c r="C31" s="14">
        <f>'PA 4'!$F$7</f>
        <v>0</v>
      </c>
      <c r="D31" s="184" t="str">
        <f>IF('PA 4'!$C$10="Bitte auswählen","",IF('PA 4'!$C$10="weiblich","w","m"))</f>
        <v>m</v>
      </c>
      <c r="E31" s="40"/>
      <c r="F31" s="11"/>
      <c r="G31" s="14"/>
      <c r="H31" s="504">
        <f>IF(DATEDIF(C25,'PA 4'!$C$21,"Y")&lt;17,0,IF(OR('PA 4'!$U$2&gt;Grundlagen!$B$8-0.01,'PA 4'!$Q$38+'PA 4'!$Q$39&gt;Grundlagen!$B$8-0.01),"La LTN ne doit pas être utilisée!",IF('PA 4'!$AG$3&lt;Grundlagen!$B$8-0.01,'PA 4'!$Q$39+'PA 4'!$Q$38,'PA 4'!Q$39)))</f>
        <v>0</v>
      </c>
      <c r="I31" s="505"/>
    </row>
    <row r="32" spans="1:12" ht="15" customHeight="1" x14ac:dyDescent="0.3">
      <c r="A32" s="37">
        <f>'PA 4'!$C$8</f>
        <v>0</v>
      </c>
      <c r="B32" s="10">
        <f>'PA 4'!$C$9</f>
        <v>0</v>
      </c>
      <c r="C32" s="500">
        <f>'PA 4'!$F$6</f>
        <v>0</v>
      </c>
      <c r="D32" s="501"/>
      <c r="E32" s="139"/>
      <c r="F32" s="183">
        <f>IF('PA 4'!$Q$37=0,0,IF('PA 4'!$C$14&lt;'PA 4'!$C$21,'PA 4'!$C$21,'PA 4'!$C$14))</f>
        <v>0</v>
      </c>
      <c r="G32" s="15">
        <f>IF('PA 4'!$Q$37=0,0,IF('PA 4'!$C$15&gt;0,'PA 4'!$C$15,$H$21))</f>
        <v>0</v>
      </c>
      <c r="H32" s="506"/>
      <c r="I32" s="507"/>
      <c r="J32" s="169" t="str">
        <f>IF(AND(H31=0,C31=0),"",IF(H31=0,"Lohnausweis erstellen!!",""))</f>
        <v/>
      </c>
    </row>
    <row r="33" spans="1:10" ht="15" customHeight="1" x14ac:dyDescent="0.25">
      <c r="A33" s="38" t="str">
        <f>CONCATENATE('PA 5'!$C$6,$K$25,'PA 5'!$C$7)</f>
        <v xml:space="preserve">, </v>
      </c>
      <c r="B33" s="7"/>
      <c r="C33" s="14">
        <f>'PA 5'!$F$7</f>
        <v>0</v>
      </c>
      <c r="D33" s="184" t="str">
        <f>IF('PA 5'!$C$10="Bitte auswählen","",IF('PA 5'!$C$10="weiblich","w","m"))</f>
        <v>m</v>
      </c>
      <c r="E33" s="40"/>
      <c r="F33" s="11"/>
      <c r="G33" s="14"/>
      <c r="H33" s="504">
        <f>IF(DATEDIF(C25,'PA 5'!$C$21,"Y")&lt;17,0,IF(OR('PA 5'!$U$2&gt;Grundlagen!$B$8-0.01,'PA 5'!$Q$38+'PA 5'!$Q$39&gt;Grundlagen!$B$8-0.01),"La LTN ne doit pas être utilisée!",IF('PA 5'!$AG$3&lt;Grundlagen!$B$8-0.01,'PA 5'!$Q$39+'PA 5'!$Q$38,'PA 5'!Q$39)))</f>
        <v>0</v>
      </c>
      <c r="I33" s="505"/>
    </row>
    <row r="34" spans="1:10" ht="15" customHeight="1" x14ac:dyDescent="0.3">
      <c r="A34" s="37">
        <f>'PA 5'!$C$8</f>
        <v>0</v>
      </c>
      <c r="B34" s="10">
        <f>'PA 5'!$C$9</f>
        <v>0</v>
      </c>
      <c r="C34" s="500">
        <f>'PA 5'!$F$6</f>
        <v>0</v>
      </c>
      <c r="D34" s="501"/>
      <c r="E34" s="139"/>
      <c r="F34" s="183">
        <f>IF('PA 5'!$Q$37=0,0,IF('PA 5'!$C$14&lt;'PA 5'!$C$21,'PA 5'!$C$21,'PA 5'!$C$14))</f>
        <v>0</v>
      </c>
      <c r="G34" s="15">
        <f>IF('PA 5'!$Q$37=0,0,IF('PA 5'!$C$15&gt;0,'PA 5'!$C$15,$H$21))</f>
        <v>0</v>
      </c>
      <c r="H34" s="506"/>
      <c r="I34" s="507"/>
      <c r="J34" s="169" t="str">
        <f>IF(AND(H33=0,C33=0),"",IF(H33=0,"Lohnausweis erstellen!!",""))</f>
        <v/>
      </c>
    </row>
    <row r="35" spans="1:10" ht="15" customHeight="1" x14ac:dyDescent="0.25">
      <c r="A35" s="38" t="str">
        <f>CONCATENATE('PA 6'!$C$6,$K$25,'PA 6'!$C$7)</f>
        <v xml:space="preserve">, </v>
      </c>
      <c r="B35" s="7"/>
      <c r="C35" s="14">
        <f>'PA 6'!$F$7</f>
        <v>0</v>
      </c>
      <c r="D35" s="184" t="str">
        <f>IF('PA 6'!$C$10="Bitte auswählen","",IF('PA 6'!$C$10="weiblich","w","m"))</f>
        <v>m</v>
      </c>
      <c r="E35" s="40"/>
      <c r="F35" s="11"/>
      <c r="G35" s="14"/>
      <c r="H35" s="504">
        <f>IF(DATEDIF(C25,'PA 6'!$C$21,"Y")&lt;17,0,IF(OR('PA 6'!$U$2&gt;Grundlagen!$B$8-0.01,'PA 6'!$Q$38+'PA 6'!$Q$39&gt;Grundlagen!$B$8-0.01),"La LTN ne doit pas être utilisée!",IF('PA 6'!$AG$3&lt;Grundlagen!$B$8-0.01,'PA 6'!$Q$39+'PA 6'!$Q$38,'PA 6'!Q$39)))</f>
        <v>0</v>
      </c>
      <c r="I35" s="505"/>
    </row>
    <row r="36" spans="1:10" ht="15" customHeight="1" x14ac:dyDescent="0.3">
      <c r="A36" s="37">
        <f>'PA 6'!$C$8</f>
        <v>0</v>
      </c>
      <c r="B36" s="10">
        <f>'PA 6'!$C$9</f>
        <v>0</v>
      </c>
      <c r="C36" s="500">
        <f>'PA 6'!$F$6</f>
        <v>0</v>
      </c>
      <c r="D36" s="501"/>
      <c r="E36" s="139"/>
      <c r="F36" s="183">
        <f>IF('PA 6'!$Q$37=0,0,IF('PA 6'!$C$14&lt;'PA 6'!$C$21,'PA 6'!$C$21,'PA 6'!$C$14))</f>
        <v>0</v>
      </c>
      <c r="G36" s="15">
        <f>IF('PA 6'!$Q$37=0,0,IF('PA 6'!$C$15&gt;0,'PA 6'!$C$15,$H$21))</f>
        <v>0</v>
      </c>
      <c r="H36" s="506"/>
      <c r="I36" s="507"/>
      <c r="J36" s="169" t="str">
        <f>IF(AND(H35=0,C35=0),"",IF(H35=0,"Lohnausweis erstellen!!",""))</f>
        <v/>
      </c>
    </row>
    <row r="37" spans="1:10" ht="15" customHeight="1" x14ac:dyDescent="0.25">
      <c r="A37" s="38" t="str">
        <f>CONCATENATE('PA 7'!$C$6,$K$25,'PA 7'!$C$7)</f>
        <v xml:space="preserve">, </v>
      </c>
      <c r="B37" s="7"/>
      <c r="C37" s="14">
        <f>'PA 7'!$F$7</f>
        <v>0</v>
      </c>
      <c r="D37" s="184" t="str">
        <f>IF('PA 7'!$C$10="Bitte auswählen","",IF('PA 7'!$C$10="weiblich","w","m"))</f>
        <v>m</v>
      </c>
      <c r="E37" s="40"/>
      <c r="F37" s="11"/>
      <c r="G37" s="14"/>
      <c r="H37" s="504">
        <f>IF(DATEDIF(C25,'PA 7'!$C$21,"Y")&lt;17,0,IF(OR('PA 7'!$U$2&gt;Grundlagen!$B$8-0.01,'PA 7'!$Q$38+'PA 7'!$Q$39&gt;Grundlagen!$B$8-0.01),"La LTN ne doit pas être utilisée!",IF('PA 7'!$AG$3&lt;Grundlagen!$B$8-0.01,'PA 7'!$Q$39+'PA 7'!$Q$38,'PA 7'!Q$39)))</f>
        <v>0</v>
      </c>
      <c r="I37" s="505"/>
    </row>
    <row r="38" spans="1:10" ht="15" customHeight="1" x14ac:dyDescent="0.3">
      <c r="A38" s="37">
        <f>'PA 7'!$C$8</f>
        <v>0</v>
      </c>
      <c r="B38" s="10">
        <f>'PA 7'!$C$9</f>
        <v>0</v>
      </c>
      <c r="C38" s="500">
        <f>'PA 7'!$F$6</f>
        <v>0</v>
      </c>
      <c r="D38" s="501"/>
      <c r="E38" s="139"/>
      <c r="F38" s="183">
        <f>IF('PA 7'!$Q$37=0,0,IF('PA 7'!$C$14&lt;'PA 7'!$C$21,'PA 7'!$C$21,'PA 7'!$C$14))</f>
        <v>0</v>
      </c>
      <c r="G38" s="15">
        <f>IF('PA 7'!$Q$37=0,0,IF('PA 7'!$C$15&gt;0,'PA 7'!$C$15,$H$21))</f>
        <v>0</v>
      </c>
      <c r="H38" s="506"/>
      <c r="I38" s="507"/>
      <c r="J38" s="169" t="str">
        <f>IF(AND(H37=0,C37=0),"",IF(H37=0,"Lohnausweis erstellen!!",""))</f>
        <v/>
      </c>
    </row>
    <row r="39" spans="1:10" ht="15" customHeight="1" x14ac:dyDescent="0.25">
      <c r="A39" s="38" t="str">
        <f>CONCATENATE('PA 8'!$C$6,$K$25,'PA 8'!$C$7)</f>
        <v xml:space="preserve">, </v>
      </c>
      <c r="B39" s="7"/>
      <c r="C39" s="14">
        <f>'PA 8'!$F$7</f>
        <v>0</v>
      </c>
      <c r="D39" s="184" t="str">
        <f>IF('PA 8'!$C$10="Bitte auswählen","",IF('PA 8'!$C$10="weiblich","w","m"))</f>
        <v>m</v>
      </c>
      <c r="E39" s="40"/>
      <c r="F39" s="11"/>
      <c r="G39" s="14"/>
      <c r="H39" s="504">
        <f>IF(DATEDIF(C25,'PA 8'!$C$21,"Y")&lt;17,0,IF(OR('PA 8'!$U$2&gt;Grundlagen!$B$8-0.01,'PA 8'!$Q$38+'PA 8'!$Q$39&gt;Grundlagen!$B$8-0.01),"La LTN ne doit pas être utilisée!",IF('PA 8'!$AG$3&lt;Grundlagen!$B$8-0.01,'PA 8'!$Q$39+'PA 8'!$Q$38,'PA 8'!Q$39)))</f>
        <v>0</v>
      </c>
      <c r="I39" s="505"/>
    </row>
    <row r="40" spans="1:10" ht="15" customHeight="1" x14ac:dyDescent="0.3">
      <c r="A40" s="37">
        <f>'PA 8'!$C$8</f>
        <v>0</v>
      </c>
      <c r="B40" s="10">
        <f>'PA 8'!$C$9</f>
        <v>0</v>
      </c>
      <c r="C40" s="500">
        <f>'PA 8'!$F$6</f>
        <v>0</v>
      </c>
      <c r="D40" s="501"/>
      <c r="E40" s="139"/>
      <c r="F40" s="183">
        <f>IF('PA 8'!$Q$37=0,0,IF('PA 8'!$C$14&lt;'PA 8'!$C$21,'PA 8'!$C$21,'PA 8'!$C$14))</f>
        <v>0</v>
      </c>
      <c r="G40" s="15">
        <f>IF('PA 8'!$Q$37=0,0,IF('PA 8'!$C$15&gt;0,'PA 8'!$C$15,$H$21))</f>
        <v>0</v>
      </c>
      <c r="H40" s="506"/>
      <c r="I40" s="507"/>
      <c r="J40" s="169" t="str">
        <f>IF(AND(H39=0,C39=0),"",IF(H39=0,"Lohnausweis erstellen!!",""))</f>
        <v/>
      </c>
    </row>
    <row r="41" spans="1:10" ht="15" customHeight="1" x14ac:dyDescent="0.25">
      <c r="A41" s="38" t="str">
        <f>CONCATENATE('PA 9'!$C$6,$K$25,'PA 9'!$C$7)</f>
        <v xml:space="preserve">, </v>
      </c>
      <c r="B41" s="7"/>
      <c r="C41" s="14">
        <f>'PA 9'!$F$7</f>
        <v>0</v>
      </c>
      <c r="D41" s="184" t="str">
        <f>IF('PA 9'!$C$10="Bitte auswählen","",IF('PA 9'!$C$10="weiblich","w","m"))</f>
        <v>m</v>
      </c>
      <c r="E41" s="40"/>
      <c r="F41" s="11"/>
      <c r="G41" s="14"/>
      <c r="H41" s="504">
        <f>IF(DATEDIF(C25,'PA 9'!$C$21,"Y")&lt;17,0,IF(OR('PA 9'!$U$2&gt;Grundlagen!$B$8-0.01,'PA 9'!$Q$38+'PA 9'!$Q$39&gt;Grundlagen!$B$8-0.01),"La LTN ne doit pas être utilisée!",IF('PA 9'!$AG$3&lt;Grundlagen!$B$8-0.01,'PA 9'!$Q$39+'PA 9'!$Q$38,'PA 9'!Q$39)))</f>
        <v>0</v>
      </c>
      <c r="I41" s="505"/>
    </row>
    <row r="42" spans="1:10" ht="15" customHeight="1" x14ac:dyDescent="0.3">
      <c r="A42" s="37">
        <f>'PA 9'!$C$8</f>
        <v>0</v>
      </c>
      <c r="B42" s="10">
        <f>'PA 9'!$C$9</f>
        <v>0</v>
      </c>
      <c r="C42" s="500">
        <f>'PA 9'!$F$6</f>
        <v>0</v>
      </c>
      <c r="D42" s="501"/>
      <c r="E42" s="139"/>
      <c r="F42" s="183">
        <f>IF('PA 9'!$Q$37=0,0,IF('PA 9'!$C$14&lt;'PA 9'!$C$21,'PA 9'!$C$21,'PA 9'!$C$14))</f>
        <v>0</v>
      </c>
      <c r="G42" s="15">
        <f>IF('PA 9'!$Q$37=0,0,IF('PA 9'!$C$15&gt;0,'PA 9'!$C$15,$H$21))</f>
        <v>0</v>
      </c>
      <c r="H42" s="506"/>
      <c r="I42" s="507"/>
      <c r="J42" s="169" t="str">
        <f>IF(AND(H41=0,C41=0),"",IF(H41=0,"Lohnausweis erstellen!!",""))</f>
        <v/>
      </c>
    </row>
    <row r="43" spans="1:10" ht="27" customHeight="1" thickBot="1" x14ac:dyDescent="0.3">
      <c r="A43" s="21"/>
      <c r="B43" s="21"/>
      <c r="C43" s="22"/>
      <c r="D43" s="22"/>
      <c r="E43" s="22"/>
      <c r="F43" s="22"/>
      <c r="G43" s="23" t="s">
        <v>134</v>
      </c>
      <c r="H43" s="526">
        <f>IF(SUM(H25:I42)&lt;Grundlagen!$B$9,SUM(H25:I42),"La LTN ne doit pas être utilisée!")</f>
        <v>0</v>
      </c>
      <c r="I43" s="527"/>
    </row>
    <row r="44" spans="1:10" ht="15" customHeight="1" thickTop="1" x14ac:dyDescent="0.25"/>
    <row r="45" spans="1:10" ht="15" customHeight="1" x14ac:dyDescent="0.25">
      <c r="A45" s="27" t="s">
        <v>194</v>
      </c>
      <c r="B45" s="28"/>
      <c r="C45" s="26"/>
      <c r="D45" s="163"/>
      <c r="F45" s="493" t="s">
        <v>195</v>
      </c>
      <c r="G45" s="493"/>
      <c r="H45" s="493"/>
      <c r="I45" s="493"/>
    </row>
    <row r="46" spans="1:10" ht="15" customHeight="1" x14ac:dyDescent="0.25">
      <c r="A46" s="494"/>
      <c r="B46" s="495"/>
      <c r="C46" s="495"/>
      <c r="D46" s="496"/>
      <c r="E46" s="32"/>
      <c r="F46" s="493"/>
      <c r="G46" s="493"/>
      <c r="H46" s="493"/>
      <c r="I46" s="493"/>
    </row>
    <row r="47" spans="1:10" ht="15" customHeight="1" x14ac:dyDescent="0.25">
      <c r="A47" s="29" t="s">
        <v>196</v>
      </c>
      <c r="B47" s="2"/>
      <c r="D47" s="146"/>
      <c r="E47" s="186"/>
      <c r="F47" s="493"/>
      <c r="G47" s="493"/>
      <c r="H47" s="493"/>
      <c r="I47" s="493"/>
    </row>
    <row r="48" spans="1:10" x14ac:dyDescent="0.25">
      <c r="A48" s="29" t="s">
        <v>197</v>
      </c>
      <c r="B48" s="2"/>
      <c r="D48" s="146"/>
      <c r="E48" s="186"/>
      <c r="F48" s="493"/>
      <c r="G48" s="493"/>
      <c r="H48" s="493"/>
      <c r="I48" s="493"/>
    </row>
    <row r="49" spans="1:9" x14ac:dyDescent="0.25">
      <c r="A49" s="30" t="s">
        <v>198</v>
      </c>
      <c r="B49" s="31"/>
      <c r="C49" s="3"/>
      <c r="D49" s="179"/>
      <c r="E49" s="186"/>
      <c r="F49" s="493"/>
      <c r="G49" s="493"/>
      <c r="H49" s="493"/>
      <c r="I49" s="493"/>
    </row>
    <row r="50" spans="1:9" ht="15" customHeight="1" x14ac:dyDescent="0.25">
      <c r="A50" s="32" t="s">
        <v>199</v>
      </c>
      <c r="B50" s="2"/>
      <c r="D50" s="146"/>
      <c r="E50" s="186"/>
      <c r="F50" s="493"/>
      <c r="G50" s="493"/>
      <c r="H50" s="493"/>
      <c r="I50" s="493"/>
    </row>
    <row r="51" spans="1:9" ht="15" customHeight="1" x14ac:dyDescent="0.25">
      <c r="A51" s="497"/>
      <c r="B51" s="498"/>
      <c r="C51" s="498"/>
      <c r="D51" s="499"/>
      <c r="E51" s="187"/>
      <c r="F51" s="493"/>
      <c r="G51" s="493"/>
      <c r="H51" s="493"/>
      <c r="I51" s="493"/>
    </row>
    <row r="52" spans="1:9" ht="15" customHeight="1" x14ac:dyDescent="0.25">
      <c r="A52" s="392"/>
      <c r="B52" s="393"/>
      <c r="C52" s="393"/>
      <c r="D52" s="394"/>
      <c r="E52" s="187"/>
      <c r="F52" s="493"/>
      <c r="G52" s="493"/>
      <c r="H52" s="493"/>
      <c r="I52" s="493"/>
    </row>
    <row r="53" spans="1:9" ht="15" customHeight="1" x14ac:dyDescent="0.25">
      <c r="A53" s="392"/>
      <c r="B53" s="393"/>
      <c r="C53" s="393"/>
      <c r="D53" s="394"/>
      <c r="E53" s="187"/>
      <c r="G53" s="33"/>
      <c r="H53" s="33"/>
      <c r="I53" s="33"/>
    </row>
    <row r="54" spans="1:9" x14ac:dyDescent="0.25">
      <c r="A54" s="497"/>
      <c r="B54" s="498"/>
      <c r="C54" s="498"/>
      <c r="D54" s="499"/>
      <c r="E54" s="187"/>
      <c r="F54" s="3"/>
      <c r="G54" s="3"/>
      <c r="H54" s="3"/>
      <c r="I54" s="3"/>
    </row>
    <row r="55" spans="1:9" x14ac:dyDescent="0.25">
      <c r="A55" s="489"/>
      <c r="B55" s="490"/>
      <c r="C55" s="490"/>
      <c r="D55" s="491"/>
      <c r="E55" s="187"/>
      <c r="F55" s="223" t="s">
        <v>200</v>
      </c>
      <c r="I55" s="180" t="s">
        <v>201</v>
      </c>
    </row>
  </sheetData>
  <sheetProtection algorithmName="SHA-512" hashValue="YNNOLSDNeh8sukcveaYBKgPfACzrkLUdi5Sz1qV2y3qFwxEO/+DXe1eaHtpdfcpMq3yhBfvSeMWpYMpZoD5XQA==" saltValue="Uw8LfxuxL7oRgcwxXmnwyA==" spinCount="100000" sheet="1" objects="1" scenarios="1"/>
  <mergeCells count="44">
    <mergeCell ref="H37:I38"/>
    <mergeCell ref="H43:I43"/>
    <mergeCell ref="H41:I42"/>
    <mergeCell ref="H39:I40"/>
    <mergeCell ref="H31:I32"/>
    <mergeCell ref="H29:I30"/>
    <mergeCell ref="H27:I28"/>
    <mergeCell ref="H25:I26"/>
    <mergeCell ref="H35:I36"/>
    <mergeCell ref="F1:I4"/>
    <mergeCell ref="H7:I7"/>
    <mergeCell ref="H6:I6"/>
    <mergeCell ref="F13:I13"/>
    <mergeCell ref="A1:C3"/>
    <mergeCell ref="A8:B8"/>
    <mergeCell ref="A9:B9"/>
    <mergeCell ref="A10:B10"/>
    <mergeCell ref="A11:B11"/>
    <mergeCell ref="A12:B12"/>
    <mergeCell ref="A13:B13"/>
    <mergeCell ref="L16:L17"/>
    <mergeCell ref="A18:I20"/>
    <mergeCell ref="C26:D26"/>
    <mergeCell ref="C28:D28"/>
    <mergeCell ref="F16:I16"/>
    <mergeCell ref="F22:G22"/>
    <mergeCell ref="H22:I24"/>
    <mergeCell ref="H21:I21"/>
    <mergeCell ref="A55:D55"/>
    <mergeCell ref="A14:B14"/>
    <mergeCell ref="F45:I52"/>
    <mergeCell ref="A46:D46"/>
    <mergeCell ref="A51:D51"/>
    <mergeCell ref="A54:D54"/>
    <mergeCell ref="C40:D40"/>
    <mergeCell ref="C42:D42"/>
    <mergeCell ref="C32:D32"/>
    <mergeCell ref="C34:D34"/>
    <mergeCell ref="C36:D36"/>
    <mergeCell ref="C38:D38"/>
    <mergeCell ref="C30:D30"/>
    <mergeCell ref="F14:I14"/>
    <mergeCell ref="F15:I15"/>
    <mergeCell ref="H33:I34"/>
  </mergeCells>
  <phoneticPr fontId="0" type="noConversion"/>
  <conditionalFormatting sqref="A9:A14">
    <cfRule type="expression" dxfId="18" priority="6">
      <formula>A9&gt;0</formula>
    </cfRule>
  </conditionalFormatting>
  <conditionalFormatting sqref="A46">
    <cfRule type="expression" dxfId="17" priority="1">
      <formula>$A$46&gt;0</formula>
    </cfRule>
  </conditionalFormatting>
  <conditionalFormatting sqref="A51:A55 E51:E55">
    <cfRule type="expression" dxfId="16" priority="2">
      <formula>$A$51&gt;0</formula>
    </cfRule>
  </conditionalFormatting>
  <conditionalFormatting sqref="A8:B8">
    <cfRule type="expression" dxfId="15" priority="4">
      <formula>A8&gt;0</formula>
    </cfRule>
  </conditionalFormatting>
  <conditionalFormatting sqref="A18:I20">
    <cfRule type="beginsWith" dxfId="14" priority="7" operator="beginsWith" text="Es muss ">
      <formula>LEFT(A18,LEN("Es muss "))="Es muss "</formula>
    </cfRule>
  </conditionalFormatting>
  <conditionalFormatting sqref="E46">
    <cfRule type="expression" dxfId="13" priority="3">
      <formula>$A$46&gt;0</formula>
    </cfRule>
  </conditionalFormatting>
  <conditionalFormatting sqref="F13:F16">
    <cfRule type="expression" dxfId="12" priority="5">
      <formula>F13&gt;0</formula>
    </cfRule>
  </conditionalFormatting>
  <conditionalFormatting sqref="G7">
    <cfRule type="expression" dxfId="11" priority="9">
      <formula>G7&gt;0</formula>
    </cfRule>
  </conditionalFormatting>
  <conditionalFormatting sqref="H6">
    <cfRule type="expression" dxfId="10" priority="8">
      <formula>H6&gt;0</formula>
    </cfRule>
  </conditionalFormatting>
  <conditionalFormatting sqref="H25">
    <cfRule type="expression" dxfId="9" priority="53">
      <formula>H25&gt;21330</formula>
    </cfRule>
  </conditionalFormatting>
  <conditionalFormatting sqref="H27">
    <cfRule type="expression" dxfId="8" priority="17">
      <formula>H27&gt;21330</formula>
    </cfRule>
  </conditionalFormatting>
  <conditionalFormatting sqref="H29">
    <cfRule type="expression" dxfId="7" priority="16">
      <formula>H29&gt;21330</formula>
    </cfRule>
  </conditionalFormatting>
  <conditionalFormatting sqref="H31">
    <cfRule type="expression" dxfId="6" priority="15">
      <formula>H31&gt;21330</formula>
    </cfRule>
  </conditionalFormatting>
  <conditionalFormatting sqref="H33">
    <cfRule type="expression" dxfId="5" priority="14">
      <formula>H33&gt;21330</formula>
    </cfRule>
  </conditionalFormatting>
  <conditionalFormatting sqref="H35">
    <cfRule type="expression" dxfId="4" priority="13">
      <formula>H35&gt;21330</formula>
    </cfRule>
  </conditionalFormatting>
  <conditionalFormatting sqref="H37">
    <cfRule type="expression" dxfId="3" priority="12">
      <formula>H37&gt;21330</formula>
    </cfRule>
  </conditionalFormatting>
  <conditionalFormatting sqref="H39">
    <cfRule type="expression" dxfId="2" priority="11">
      <formula>H39&gt;21330</formula>
    </cfRule>
  </conditionalFormatting>
  <conditionalFormatting sqref="H41">
    <cfRule type="expression" dxfId="1" priority="10">
      <formula>H41&gt;21330</formula>
    </cfRule>
  </conditionalFormatting>
  <conditionalFormatting sqref="H43">
    <cfRule type="beginsWith" dxfId="0" priority="41" operator="beginsWith" text="BGSA">
      <formula>LEFT(H43,LEN("BGSA"))="BGSA"</formula>
    </cfRule>
  </conditionalFormatting>
  <hyperlinks>
    <hyperlink ref="A18:I20" location="'AHV Formular (ordentlich)'!A1" display="'AHV Formular (ordentlich)'!A1" xr:uid="{F819F608-133D-4D39-8361-67CD0A962040}"/>
    <hyperlink ref="L20" location="'Attestation du salaire (ord.)'!Druckbereich" display="Attestation de salaire AVS ordinaire" xr:uid="{23A4BB63-9B4E-43A2-99BC-14F7C251CC7D}"/>
  </hyperlinks>
  <pageMargins left="0.23622047244094491" right="0.23622047244094491" top="0.39370078740157483" bottom="0.39370078740157483" header="0.31496062992125984" footer="0.31496062992125984"/>
  <pageSetup paperSize="9" scale="98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0</xdr:col>
                    <xdr:colOff>12700</xdr:colOff>
                    <xdr:row>46</xdr:row>
                    <xdr:rowOff>31750</xdr:rowOff>
                  </from>
                  <to>
                    <xdr:col>0</xdr:col>
                    <xdr:colOff>190500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0</xdr:col>
                    <xdr:colOff>12700</xdr:colOff>
                    <xdr:row>46</xdr:row>
                    <xdr:rowOff>184150</xdr:rowOff>
                  </from>
                  <to>
                    <xdr:col>0</xdr:col>
                    <xdr:colOff>285750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0</xdr:col>
                    <xdr:colOff>12700</xdr:colOff>
                    <xdr:row>46</xdr:row>
                    <xdr:rowOff>31750</xdr:rowOff>
                  </from>
                  <to>
                    <xdr:col>0</xdr:col>
                    <xdr:colOff>190500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0</xdr:col>
                    <xdr:colOff>12700</xdr:colOff>
                    <xdr:row>46</xdr:row>
                    <xdr:rowOff>184150</xdr:rowOff>
                  </from>
                  <to>
                    <xdr:col>0</xdr:col>
                    <xdr:colOff>285750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0</xdr:col>
                    <xdr:colOff>12700</xdr:colOff>
                    <xdr:row>46</xdr:row>
                    <xdr:rowOff>31750</xdr:rowOff>
                  </from>
                  <to>
                    <xdr:col>0</xdr:col>
                    <xdr:colOff>190500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0</xdr:col>
                    <xdr:colOff>12700</xdr:colOff>
                    <xdr:row>46</xdr:row>
                    <xdr:rowOff>184150</xdr:rowOff>
                  </from>
                  <to>
                    <xdr:col>0</xdr:col>
                    <xdr:colOff>285750</xdr:colOff>
                    <xdr:row>48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0.59999389629810485"/>
    <pageSetUpPr fitToPage="1"/>
  </sheetPr>
  <dimension ref="A1:N58"/>
  <sheetViews>
    <sheetView showGridLines="0" showZeros="0" showOutlineSymbols="0" zoomScaleNormal="100" workbookViewId="0">
      <selection activeCell="A8" sqref="A8:D8"/>
    </sheetView>
  </sheetViews>
  <sheetFormatPr baseColWidth="10" defaultColWidth="11.453125" defaultRowHeight="12.5" x14ac:dyDescent="0.25"/>
  <cols>
    <col min="1" max="1" width="12.7265625" style="1" customWidth="1"/>
    <col min="2" max="2" width="10.7265625" style="1" customWidth="1"/>
    <col min="3" max="3" width="11" style="1" customWidth="1"/>
    <col min="4" max="4" width="6.7265625" style="1" customWidth="1"/>
    <col min="5" max="6" width="8.7265625" style="1" customWidth="1"/>
    <col min="7" max="7" width="11.7265625" style="1" customWidth="1"/>
    <col min="8" max="8" width="12.7265625" style="1" customWidth="1" collapsed="1"/>
    <col min="9" max="10" width="12.7265625" style="1" customWidth="1"/>
    <col min="11" max="11" width="11.453125" style="1"/>
    <col min="12" max="12" width="0" style="1" hidden="1" customWidth="1"/>
    <col min="13" max="13" width="47.7265625" style="1" customWidth="1"/>
    <col min="14" max="16384" width="11.453125" style="1"/>
  </cols>
  <sheetData>
    <row r="1" spans="1:13" ht="12.75" customHeight="1" x14ac:dyDescent="0.3">
      <c r="A1" s="521"/>
      <c r="B1" s="521"/>
      <c r="C1" s="521"/>
      <c r="D1" s="160"/>
      <c r="E1" s="162"/>
      <c r="G1" s="530" t="s">
        <v>202</v>
      </c>
      <c r="H1" s="530"/>
      <c r="I1" s="530"/>
      <c r="J1" s="530"/>
    </row>
    <row r="2" spans="1:13" ht="12.75" customHeight="1" thickBot="1" x14ac:dyDescent="0.35">
      <c r="A2" s="521"/>
      <c r="B2" s="521"/>
      <c r="C2" s="521"/>
      <c r="D2" s="160"/>
      <c r="E2" s="162"/>
      <c r="G2" s="530"/>
      <c r="H2" s="530"/>
      <c r="I2" s="530"/>
      <c r="J2" s="530"/>
    </row>
    <row r="3" spans="1:13" ht="12.75" customHeight="1" x14ac:dyDescent="0.3">
      <c r="A3" s="521"/>
      <c r="B3" s="521"/>
      <c r="C3" s="521"/>
      <c r="D3" s="160"/>
      <c r="E3" s="162"/>
      <c r="G3" s="530"/>
      <c r="H3" s="530"/>
      <c r="I3" s="530"/>
      <c r="J3" s="530"/>
      <c r="M3" s="167" t="s">
        <v>177</v>
      </c>
    </row>
    <row r="4" spans="1:13" ht="15" customHeight="1" x14ac:dyDescent="0.3">
      <c r="A4" s="162"/>
      <c r="B4" s="151"/>
      <c r="C4" s="151"/>
      <c r="D4" s="151"/>
      <c r="E4" s="152"/>
      <c r="G4" s="162"/>
      <c r="H4" s="162"/>
      <c r="I4" s="162"/>
      <c r="J4" s="162"/>
      <c r="M4" s="529" t="s">
        <v>203</v>
      </c>
    </row>
    <row r="5" spans="1:13" x14ac:dyDescent="0.25">
      <c r="A5" s="24"/>
      <c r="G5" s="35" t="s">
        <v>164</v>
      </c>
      <c r="H5" s="91"/>
      <c r="I5" s="531">
        <f ca="1">TODAY()</f>
        <v>45996</v>
      </c>
      <c r="J5" s="532"/>
      <c r="M5" s="529"/>
    </row>
    <row r="6" spans="1:13" ht="13" thickBot="1" x14ac:dyDescent="0.3">
      <c r="G6" s="36" t="s">
        <v>166</v>
      </c>
      <c r="H6" s="4"/>
      <c r="I6" s="533"/>
      <c r="J6" s="534"/>
      <c r="M6" s="244"/>
    </row>
    <row r="7" spans="1:13" x14ac:dyDescent="0.25">
      <c r="A7" s="528" t="s">
        <v>168</v>
      </c>
      <c r="B7" s="528"/>
      <c r="C7" s="528"/>
      <c r="D7" s="528"/>
      <c r="G7" s="89" t="s">
        <v>169</v>
      </c>
      <c r="H7" s="92"/>
      <c r="I7" s="140"/>
      <c r="J7" s="90"/>
    </row>
    <row r="8" spans="1:13" x14ac:dyDescent="0.25">
      <c r="A8" s="492"/>
      <c r="B8" s="492"/>
      <c r="C8" s="492"/>
      <c r="D8" s="492"/>
    </row>
    <row r="9" spans="1:13" x14ac:dyDescent="0.25">
      <c r="A9" s="492"/>
      <c r="B9" s="492"/>
      <c r="C9" s="492"/>
      <c r="D9" s="492"/>
      <c r="G9" s="5" t="s">
        <v>171</v>
      </c>
      <c r="H9" s="5"/>
    </row>
    <row r="10" spans="1:13" x14ac:dyDescent="0.25">
      <c r="A10" s="492"/>
      <c r="B10" s="492"/>
      <c r="C10" s="492"/>
      <c r="D10" s="492"/>
    </row>
    <row r="11" spans="1:13" x14ac:dyDescent="0.25">
      <c r="A11" s="492"/>
      <c r="B11" s="492"/>
      <c r="C11" s="492"/>
      <c r="D11" s="492"/>
      <c r="F11" s="146"/>
      <c r="G11" s="35" t="s">
        <v>173</v>
      </c>
      <c r="H11" s="91"/>
      <c r="I11" s="26"/>
      <c r="J11" s="163"/>
    </row>
    <row r="12" spans="1:13" x14ac:dyDescent="0.25">
      <c r="A12" s="492"/>
      <c r="B12" s="492"/>
      <c r="C12" s="492"/>
      <c r="D12" s="492"/>
      <c r="F12" s="146"/>
      <c r="G12" s="502"/>
      <c r="H12" s="492"/>
      <c r="I12" s="492"/>
      <c r="J12" s="503"/>
    </row>
    <row r="13" spans="1:13" x14ac:dyDescent="0.25">
      <c r="A13" s="492"/>
      <c r="B13" s="492"/>
      <c r="C13" s="492"/>
      <c r="D13" s="492"/>
      <c r="F13" s="146"/>
      <c r="G13" s="502"/>
      <c r="H13" s="492"/>
      <c r="I13" s="492"/>
      <c r="J13" s="503"/>
    </row>
    <row r="14" spans="1:13" ht="12.75" customHeight="1" x14ac:dyDescent="0.25">
      <c r="A14" s="24"/>
      <c r="F14" s="146"/>
      <c r="G14" s="502"/>
      <c r="H14" s="492"/>
      <c r="I14" s="492"/>
      <c r="J14" s="503"/>
    </row>
    <row r="15" spans="1:13" x14ac:dyDescent="0.25">
      <c r="A15" s="24"/>
      <c r="F15" s="146"/>
      <c r="G15" s="508"/>
      <c r="H15" s="509"/>
      <c r="I15" s="509"/>
      <c r="J15" s="510"/>
    </row>
    <row r="16" spans="1:13" x14ac:dyDescent="0.25">
      <c r="A16" s="24"/>
    </row>
    <row r="17" spans="1:14" x14ac:dyDescent="0.25">
      <c r="A17" s="24"/>
      <c r="G17" s="547">
        <f>'PA 1'!A21</f>
        <v>46387</v>
      </c>
      <c r="H17" s="547"/>
      <c r="I17" s="111"/>
    </row>
    <row r="18" spans="1:14" x14ac:dyDescent="0.25">
      <c r="A18" s="3"/>
      <c r="B18" s="3"/>
      <c r="C18" s="3"/>
      <c r="D18" s="3"/>
      <c r="E18" s="3"/>
      <c r="F18" s="50"/>
      <c r="G18" s="50"/>
      <c r="I18" s="111"/>
      <c r="J18" s="111"/>
    </row>
    <row r="19" spans="1:14" s="164" customFormat="1" ht="33" customHeight="1" x14ac:dyDescent="0.3">
      <c r="A19" s="113"/>
      <c r="B19" s="114"/>
      <c r="C19" s="130"/>
      <c r="D19" s="131"/>
      <c r="E19" s="539" t="s">
        <v>184</v>
      </c>
      <c r="F19" s="540"/>
      <c r="G19" s="548" t="s">
        <v>204</v>
      </c>
      <c r="H19" s="548" t="s">
        <v>205</v>
      </c>
      <c r="I19" s="541" t="s">
        <v>206</v>
      </c>
      <c r="J19" s="544" t="s">
        <v>207</v>
      </c>
      <c r="M19" s="1"/>
    </row>
    <row r="20" spans="1:14" s="164" customFormat="1" ht="12.75" customHeight="1" x14ac:dyDescent="0.3">
      <c r="A20" s="115" t="s">
        <v>208</v>
      </c>
      <c r="B20" s="116"/>
      <c r="C20" s="127" t="s">
        <v>187</v>
      </c>
      <c r="D20" s="132"/>
      <c r="E20" s="117" t="s">
        <v>188</v>
      </c>
      <c r="F20" s="117" t="s">
        <v>189</v>
      </c>
      <c r="G20" s="549"/>
      <c r="H20" s="551"/>
      <c r="I20" s="542"/>
      <c r="J20" s="545"/>
      <c r="M20" s="1"/>
    </row>
    <row r="21" spans="1:14" s="164" customFormat="1" ht="13" x14ac:dyDescent="0.3">
      <c r="A21" s="118"/>
      <c r="B21" s="136"/>
      <c r="C21" s="119" t="s">
        <v>191</v>
      </c>
      <c r="D21" s="133"/>
      <c r="E21" s="119" t="s">
        <v>192</v>
      </c>
      <c r="F21" s="119" t="s">
        <v>192</v>
      </c>
      <c r="G21" s="550"/>
      <c r="H21" s="552"/>
      <c r="I21" s="543"/>
      <c r="J21" s="546"/>
      <c r="M21" s="1"/>
    </row>
    <row r="22" spans="1:14" ht="15" customHeight="1" x14ac:dyDescent="0.25">
      <c r="A22" s="38"/>
      <c r="B22" s="7"/>
      <c r="C22" s="14">
        <f>'PA 1'!$F$7</f>
        <v>0</v>
      </c>
      <c r="D22" s="11" t="str">
        <f>IF('PA 1'!$C$10="Bitte auswählen","",IF('PA 1'!$C$10="weiblich","w","m"))</f>
        <v>m</v>
      </c>
      <c r="E22" s="137"/>
      <c r="F22" s="138"/>
      <c r="G22" s="14"/>
      <c r="H22" s="120"/>
      <c r="I22" s="124"/>
      <c r="J22" s="93"/>
      <c r="L22" s="1" t="s">
        <v>193</v>
      </c>
      <c r="N22" s="243"/>
    </row>
    <row r="23" spans="1:14" ht="15" customHeight="1" x14ac:dyDescent="0.25">
      <c r="A23" s="37" t="str">
        <f>CONCATENATE('PA 1'!$C$6,$L$22,'PA 1'!$C$7)</f>
        <v xml:space="preserve">, </v>
      </c>
      <c r="B23" s="10"/>
      <c r="C23" s="129">
        <f>'PA 1'!$F$6</f>
        <v>0</v>
      </c>
      <c r="D23" s="139"/>
      <c r="E23" s="165">
        <f>IF('PA 1'!$Q$37=0,0,IF('PA 1'!$C$14&lt;'PA 1'!$C$21,'PA 1'!$C$21,'PA 1'!$C$14))</f>
        <v>0</v>
      </c>
      <c r="F23" s="165">
        <f>IF('PA 1'!$Q$37=0,0,IF('PA 1'!$C$15&gt;0,'PA 1'!$C$15,$G$17))</f>
        <v>0</v>
      </c>
      <c r="G23" s="166">
        <f>IF(DATEDIF(C22,'PA 1'!$C$21,"Y")&lt;17,0,'PA 1'!$Q$39)</f>
        <v>0</v>
      </c>
      <c r="H23" s="121">
        <f>IF(DATEDIF(C22,'PA 1'!$C$21,"Y")&lt;17,0,'PA 1'!$Q$81)</f>
        <v>0</v>
      </c>
      <c r="I23" s="125">
        <f>G23</f>
        <v>0</v>
      </c>
      <c r="J23" s="94">
        <f>'PA 1'!$Q$36</f>
        <v>0</v>
      </c>
    </row>
    <row r="24" spans="1:14" ht="15" customHeight="1" x14ac:dyDescent="0.25">
      <c r="A24" s="38"/>
      <c r="B24" s="7"/>
      <c r="C24" s="14">
        <f>'PA 2'!$F$7</f>
        <v>0</v>
      </c>
      <c r="D24" s="11" t="str">
        <f>IF('PA 2'!$C$10="Bitte auswählen","",IF('PA 2'!$C$10="weiblich","w","m"))</f>
        <v>m</v>
      </c>
      <c r="E24" s="137"/>
      <c r="F24" s="138"/>
      <c r="G24" s="14"/>
      <c r="H24" s="120"/>
      <c r="I24" s="124"/>
      <c r="J24" s="93"/>
    </row>
    <row r="25" spans="1:14" ht="15" customHeight="1" x14ac:dyDescent="0.25">
      <c r="A25" s="37" t="str">
        <f>CONCATENATE('PA 2'!$C$6,$L$22,'PA 2'!$C$7)</f>
        <v xml:space="preserve">, </v>
      </c>
      <c r="B25" s="10"/>
      <c r="C25" s="129">
        <f>'PA 2'!$F$6</f>
        <v>0</v>
      </c>
      <c r="D25" s="139"/>
      <c r="E25" s="165">
        <f>IF('PA 2'!$Q$37=0,0,IF('PA 2'!$C$14&lt;'PA 2'!$C$21,'PA 2'!$C$21,'PA 2'!$C$14))</f>
        <v>0</v>
      </c>
      <c r="F25" s="165">
        <f>IF('PA 2'!$Q$37=0,0,IF('PA 2'!$C$15&gt;0,'PA 2'!$C$15,$G$17))</f>
        <v>0</v>
      </c>
      <c r="G25" s="166">
        <f>IF(DATEDIF(C24,'PA 2'!$C$21,"Y")&lt;17,0,'PA 2'!$Q$39)</f>
        <v>0</v>
      </c>
      <c r="H25" s="121">
        <f>IF(DATEDIF(C24,'PA 2'!$C$21,"Y")&lt;17,0,'PA 2'!$Q$81)</f>
        <v>0</v>
      </c>
      <c r="I25" s="125">
        <f>G25</f>
        <v>0</v>
      </c>
      <c r="J25" s="94">
        <f>'PA 2'!$Q$36</f>
        <v>0</v>
      </c>
    </row>
    <row r="26" spans="1:14" ht="15" customHeight="1" x14ac:dyDescent="0.25">
      <c r="A26" s="38"/>
      <c r="B26" s="7"/>
      <c r="C26" s="14">
        <f>'PA 3'!$F$7</f>
        <v>0</v>
      </c>
      <c r="D26" s="11" t="str">
        <f>IF('PA 3'!$C$10="Bitte auswählen","",IF('PA 3'!$C$10="weiblich","w","m"))</f>
        <v>m</v>
      </c>
      <c r="E26" s="137"/>
      <c r="F26" s="138"/>
      <c r="G26" s="14"/>
      <c r="H26" s="120"/>
      <c r="I26" s="124"/>
      <c r="J26" s="93"/>
    </row>
    <row r="27" spans="1:14" ht="15" customHeight="1" x14ac:dyDescent="0.25">
      <c r="A27" s="37" t="str">
        <f>CONCATENATE('PA 3'!$C$6,$L$22,'PA 3'!$C$7)</f>
        <v xml:space="preserve">, </v>
      </c>
      <c r="B27" s="10"/>
      <c r="C27" s="129">
        <f>'PA 3'!$F$6</f>
        <v>0</v>
      </c>
      <c r="D27" s="139"/>
      <c r="E27" s="165">
        <f>IF('PA 3'!$Q$37=0,0,IF('PA 3'!$C$14&lt;'PA 3'!$C$21,'PA 3'!$C$21,'PA 3'!$C$14))</f>
        <v>0</v>
      </c>
      <c r="F27" s="165">
        <f>IF('PA 3'!$Q$37=0,0,IF('PA 3'!$C$15&gt;0,'PA 3'!$C$15,$G$17))</f>
        <v>0</v>
      </c>
      <c r="G27" s="166">
        <f>IF(DATEDIF(C26,'PA 3'!$C$21,"Y")&lt;17,0,'PA 3'!$Q$39)</f>
        <v>0</v>
      </c>
      <c r="H27" s="121">
        <f>IF(DATEDIF(C26,'PA 3'!$C$21,"Y")&lt;17,0,'PA 3'!$Q$81)</f>
        <v>0</v>
      </c>
      <c r="I27" s="125">
        <f>G27</f>
        <v>0</v>
      </c>
      <c r="J27" s="94">
        <f>'PA 3'!$Q$36</f>
        <v>0</v>
      </c>
    </row>
    <row r="28" spans="1:14" ht="15" customHeight="1" x14ac:dyDescent="0.25">
      <c r="A28" s="38"/>
      <c r="B28" s="7"/>
      <c r="C28" s="14">
        <f>'PA 4'!$F$7</f>
        <v>0</v>
      </c>
      <c r="D28" s="11" t="str">
        <f>IF('PA 4'!$C$10="Bitte auswählen","",IF('PA 4'!$C$10="weiblich","w","m"))</f>
        <v>m</v>
      </c>
      <c r="E28" s="137"/>
      <c r="F28" s="138"/>
      <c r="G28" s="14"/>
      <c r="H28" s="120"/>
      <c r="I28" s="124"/>
      <c r="J28" s="93"/>
    </row>
    <row r="29" spans="1:14" ht="15" customHeight="1" x14ac:dyDescent="0.25">
      <c r="A29" s="37" t="str">
        <f>CONCATENATE('PA 4'!$C$6,$L$22,'PA 4'!$C$7)</f>
        <v xml:space="preserve">, </v>
      </c>
      <c r="B29" s="10"/>
      <c r="C29" s="129">
        <f>'PA 4'!$F$6</f>
        <v>0</v>
      </c>
      <c r="D29" s="139"/>
      <c r="E29" s="165">
        <f>IF('PA 4'!$Q$37=0,0,IF('PA 4'!$C$14&lt;'PA 4'!$C$21,'PA 4'!$C$21,'PA 4'!$C$14))</f>
        <v>0</v>
      </c>
      <c r="F29" s="165">
        <f>IF('PA 4'!$Q$37=0,0,IF('PA 4'!$C$15&gt;0,'PA 4'!$C$15,$G$17))</f>
        <v>0</v>
      </c>
      <c r="G29" s="166">
        <f>IF(DATEDIF(C28,'PA 4'!$C$21,"Y")&lt;17,0,'PA 4'!$Q$39)</f>
        <v>0</v>
      </c>
      <c r="H29" s="121">
        <f>IF(DATEDIF(C28,'PA 4'!$C$21,"Y")&lt;17,0,'PA 4'!$Q$81)</f>
        <v>0</v>
      </c>
      <c r="I29" s="125">
        <f>G29</f>
        <v>0</v>
      </c>
      <c r="J29" s="94">
        <f>'PA 4'!$Q$36</f>
        <v>0</v>
      </c>
    </row>
    <row r="30" spans="1:14" ht="15" customHeight="1" x14ac:dyDescent="0.25">
      <c r="A30" s="38"/>
      <c r="B30" s="7"/>
      <c r="C30" s="14">
        <f>'PA 5'!$F$7</f>
        <v>0</v>
      </c>
      <c r="D30" s="11" t="str">
        <f>IF('PA 5'!$C$10="Bitte auswählen","",IF('PA 5'!$C$10="weiblich","w","m"))</f>
        <v>m</v>
      </c>
      <c r="E30" s="137"/>
      <c r="F30" s="138"/>
      <c r="G30" s="14"/>
      <c r="H30" s="120"/>
      <c r="I30" s="124"/>
      <c r="J30" s="93"/>
    </row>
    <row r="31" spans="1:14" ht="15" customHeight="1" x14ac:dyDescent="0.25">
      <c r="A31" s="37" t="str">
        <f>CONCATENATE('PA 5'!$C$6,$L$22,'PA 5'!$C$7)</f>
        <v xml:space="preserve">, </v>
      </c>
      <c r="B31" s="10"/>
      <c r="C31" s="129">
        <f>'PA 5'!$F$6</f>
        <v>0</v>
      </c>
      <c r="D31" s="139"/>
      <c r="E31" s="165">
        <f>IF('PA 5'!$Q$37=0,0,IF('PA 5'!$C$14&lt;'PA 5'!$C$21,'PA 5'!$C$21,'PA 5'!$C$14))</f>
        <v>0</v>
      </c>
      <c r="F31" s="165">
        <f>IF('PA 5'!$Q$37=0,0,IF('PA 5'!$C$15&gt;0,'PA 5'!$C$15,$G$17))</f>
        <v>0</v>
      </c>
      <c r="G31" s="166">
        <f>IF(DATEDIF(C30,'PA 5'!$C$21,"Y")&lt;17,0,'PA 5'!$Q$39)</f>
        <v>0</v>
      </c>
      <c r="H31" s="121">
        <f>IF(DATEDIF(C30,'PA 5'!$C$21,"Y")&lt;17,0,'PA 5'!$Q$81)</f>
        <v>0</v>
      </c>
      <c r="I31" s="125">
        <f>G31</f>
        <v>0</v>
      </c>
      <c r="J31" s="94">
        <f>'PA 5'!$Q$36</f>
        <v>0</v>
      </c>
    </row>
    <row r="32" spans="1:14" ht="15" customHeight="1" x14ac:dyDescent="0.25">
      <c r="A32" s="38"/>
      <c r="B32" s="7"/>
      <c r="C32" s="14">
        <f>'PA 6'!$F$7</f>
        <v>0</v>
      </c>
      <c r="D32" s="11" t="str">
        <f>IF('PA 6'!$C$10="Bitte auswählen","",IF('PA 6'!$C$10="weiblich","w","m"))</f>
        <v>m</v>
      </c>
      <c r="E32" s="137"/>
      <c r="F32" s="138"/>
      <c r="G32" s="14"/>
      <c r="H32" s="120"/>
      <c r="I32" s="124"/>
      <c r="J32" s="93"/>
    </row>
    <row r="33" spans="1:10" ht="15" customHeight="1" x14ac:dyDescent="0.25">
      <c r="A33" s="37" t="str">
        <f>CONCATENATE('PA 6'!$C$6,$L$22,'PA 6'!$C$7)</f>
        <v xml:space="preserve">, </v>
      </c>
      <c r="B33" s="10"/>
      <c r="C33" s="129">
        <f>'PA 6'!$F$6</f>
        <v>0</v>
      </c>
      <c r="D33" s="139"/>
      <c r="E33" s="165">
        <f>IF('PA 6'!$Q$37=0,0,IF('PA 6'!$C$14&lt;'PA 6'!$C$21,'PA 6'!$C$21,'PA 6'!$C$14))</f>
        <v>0</v>
      </c>
      <c r="F33" s="165">
        <f>IF('PA 6'!$Q$37=0,0,IF('PA 6'!$C$15&gt;0,'PA 6'!$C$15,$G$17))</f>
        <v>0</v>
      </c>
      <c r="G33" s="166">
        <f>IF(DATEDIF(C32,'PA 6'!$C$21,"Y")&lt;17,0,'PA 6'!$Q$39)</f>
        <v>0</v>
      </c>
      <c r="H33" s="121">
        <f>IF(DATEDIF(C32,'PA 6'!$C$21,"Y")&lt;17,0,'PA 6'!$Q$81)</f>
        <v>0</v>
      </c>
      <c r="I33" s="125">
        <f>G33</f>
        <v>0</v>
      </c>
      <c r="J33" s="94">
        <f>'PA 6'!$Q$36</f>
        <v>0</v>
      </c>
    </row>
    <row r="34" spans="1:10" ht="15" customHeight="1" x14ac:dyDescent="0.25">
      <c r="A34" s="38"/>
      <c r="B34" s="7"/>
      <c r="C34" s="14">
        <f>'PA 7'!$F$7</f>
        <v>0</v>
      </c>
      <c r="D34" s="11" t="str">
        <f>IF('PA 7'!$C$10="Bitte auswählen","",IF('PA 7'!$C$10="weiblich","w","m"))</f>
        <v>m</v>
      </c>
      <c r="E34" s="137"/>
      <c r="F34" s="138"/>
      <c r="G34" s="14"/>
      <c r="H34" s="120"/>
      <c r="I34" s="124"/>
      <c r="J34" s="93"/>
    </row>
    <row r="35" spans="1:10" ht="15" customHeight="1" x14ac:dyDescent="0.25">
      <c r="A35" s="37" t="str">
        <f>CONCATENATE('PA 7'!$C$6,$L$22,'PA 7'!$C$7)</f>
        <v xml:space="preserve">, </v>
      </c>
      <c r="B35" s="10"/>
      <c r="C35" s="129">
        <f>'PA 7'!$F$6</f>
        <v>0</v>
      </c>
      <c r="D35" s="139"/>
      <c r="E35" s="165">
        <f>IF('PA 7'!$Q$37=0,0,IF('PA 7'!$C$14&lt;'PA 7'!$C$21,'PA 7'!$C$21,'PA 7'!$C$14))</f>
        <v>0</v>
      </c>
      <c r="F35" s="165">
        <f>IF('PA 7'!$Q$37=0,0,IF('PA 7'!$C$15&gt;0,'PA 7'!$C$15,$G$17))</f>
        <v>0</v>
      </c>
      <c r="G35" s="166">
        <f>IF(DATEDIF(C34,'PA 7'!$C$21,"Y")&lt;17,0,'PA 7'!$Q$39)</f>
        <v>0</v>
      </c>
      <c r="H35" s="121">
        <f>IF(DATEDIF(C34,'PA 7'!$C$21,"Y")&lt;17,0,'PA 7'!$Q$81)</f>
        <v>0</v>
      </c>
      <c r="I35" s="125">
        <f>G35</f>
        <v>0</v>
      </c>
      <c r="J35" s="94">
        <f>'PA 7'!$Q$36</f>
        <v>0</v>
      </c>
    </row>
    <row r="36" spans="1:10" ht="15" customHeight="1" x14ac:dyDescent="0.25">
      <c r="A36" s="38"/>
      <c r="B36" s="7"/>
      <c r="C36" s="14">
        <f>'PA 8'!$F$7</f>
        <v>0</v>
      </c>
      <c r="D36" s="11" t="str">
        <f>IF('PA 8'!$C$10="Bitte auswählen","",IF('PA 8'!$C$10="weiblich","w","m"))</f>
        <v>m</v>
      </c>
      <c r="E36" s="137"/>
      <c r="F36" s="138"/>
      <c r="G36" s="14"/>
      <c r="H36" s="120"/>
      <c r="I36" s="124"/>
      <c r="J36" s="93"/>
    </row>
    <row r="37" spans="1:10" ht="15" customHeight="1" x14ac:dyDescent="0.25">
      <c r="A37" s="37" t="str">
        <f>CONCATENATE('PA 8'!$C$6,$L$22,'PA 8'!$C$7)</f>
        <v xml:space="preserve">, </v>
      </c>
      <c r="B37" s="10"/>
      <c r="C37" s="129">
        <f>'PA 8'!$F$6</f>
        <v>0</v>
      </c>
      <c r="D37" s="139"/>
      <c r="E37" s="165">
        <f>IF('PA 8'!$Q$37=0,0,IF('PA 8'!$C$14&lt;'PA 8'!$C$21,'PA 8'!$C$21,'PA 8'!$C$14))</f>
        <v>0</v>
      </c>
      <c r="F37" s="165">
        <f>IF('PA 8'!$Q$37=0,0,IF('PA 8'!$C$15&gt;0,'PA 8'!$C$15,$G$17))</f>
        <v>0</v>
      </c>
      <c r="G37" s="166">
        <f>IF(DATEDIF(C36,'PA 8'!$C$21,"Y")&lt;17,0,'PA 8'!$Q$39)</f>
        <v>0</v>
      </c>
      <c r="H37" s="121">
        <f>IF(DATEDIF(C36,'PA 8'!$C$21,"Y")&lt;17,0,'PA 8'!$Q$81)</f>
        <v>0</v>
      </c>
      <c r="I37" s="125">
        <f>G37</f>
        <v>0</v>
      </c>
      <c r="J37" s="94">
        <f>'PA 8'!$Q$36</f>
        <v>0</v>
      </c>
    </row>
    <row r="38" spans="1:10" ht="15" customHeight="1" x14ac:dyDescent="0.25">
      <c r="A38" s="38"/>
      <c r="B38" s="7"/>
      <c r="C38" s="14">
        <f>'PA 9'!$F$7</f>
        <v>0</v>
      </c>
      <c r="D38" s="11" t="str">
        <f>IF('PA 9'!$C$10="Bitte auswählen","",IF('PA 9'!$C$10="weiblich","w","m"))</f>
        <v>m</v>
      </c>
      <c r="E38" s="128"/>
      <c r="F38" s="14"/>
      <c r="G38" s="14"/>
      <c r="H38" s="120"/>
      <c r="I38" s="124"/>
      <c r="J38" s="93"/>
    </row>
    <row r="39" spans="1:10" ht="15" customHeight="1" x14ac:dyDescent="0.25">
      <c r="A39" s="39" t="str">
        <f>CONCATENATE('PA 9'!$C$6,$L$22,'PA 9'!$C$7)</f>
        <v xml:space="preserve">, </v>
      </c>
      <c r="B39" s="155"/>
      <c r="C39" s="134">
        <f>'PA 9'!$F$6</f>
        <v>0</v>
      </c>
      <c r="D39" s="135"/>
      <c r="E39" s="95">
        <f>IF('PA 9'!$Q$37=0,0,IF('PA 9'!$C$14&lt;'PA 9'!$C$21,'PA 9'!$C$21,'PA 9'!$C$14))</f>
        <v>0</v>
      </c>
      <c r="F39" s="95">
        <f>IF('PA 9'!$Q$37=0,0,IF('PA 9'!$C$15&gt;0,'PA 9'!$C$15,$G$17))</f>
        <v>0</v>
      </c>
      <c r="G39" s="122">
        <f>IF(DATEDIF(C38,'PA 9'!$C$21,"Y")&lt;17,0,'PA 9'!$Q$39)</f>
        <v>0</v>
      </c>
      <c r="H39" s="126">
        <f>IF(DATEDIF(C38,'PA 9'!$C$21,"Y")&lt;17,0,'PA 9'!$Q$81)</f>
        <v>0</v>
      </c>
      <c r="I39" s="126">
        <f>G39</f>
        <v>0</v>
      </c>
      <c r="J39" s="123">
        <f>'PA 9'!$Q$36</f>
        <v>0</v>
      </c>
    </row>
    <row r="40" spans="1:10" ht="15" customHeight="1" x14ac:dyDescent="0.25">
      <c r="A40" s="4"/>
      <c r="B40" s="4"/>
      <c r="C40" s="12"/>
      <c r="D40" s="12"/>
      <c r="E40" s="153"/>
      <c r="F40" s="153"/>
      <c r="G40" s="153"/>
      <c r="H40" s="57"/>
      <c r="I40" s="57"/>
      <c r="J40" s="156"/>
    </row>
    <row r="41" spans="1:10" ht="20.149999999999999" customHeight="1" thickBot="1" x14ac:dyDescent="0.3">
      <c r="A41" s="403"/>
      <c r="B41" s="403"/>
      <c r="C41" s="403"/>
      <c r="D41" s="403"/>
      <c r="E41" s="112"/>
      <c r="F41" s="154" t="s">
        <v>134</v>
      </c>
      <c r="G41" s="96">
        <f>SUM(G22:G39)</f>
        <v>0</v>
      </c>
      <c r="H41" s="96">
        <f>SUM(H22:H39)</f>
        <v>0</v>
      </c>
      <c r="I41" s="96">
        <f>SUM(I22:I39)</f>
        <v>0</v>
      </c>
      <c r="J41" s="141">
        <f>SUM(J22:J39)</f>
        <v>0</v>
      </c>
    </row>
    <row r="42" spans="1:10" ht="15" customHeight="1" thickTop="1" x14ac:dyDescent="0.25">
      <c r="A42" s="403"/>
      <c r="B42" s="403"/>
      <c r="C42" s="403"/>
      <c r="D42" s="403"/>
    </row>
    <row r="43" spans="1:10" ht="15" customHeight="1" x14ac:dyDescent="0.25"/>
    <row r="44" spans="1:10" ht="15" customHeight="1" x14ac:dyDescent="0.25">
      <c r="A44" s="1" t="s">
        <v>209</v>
      </c>
      <c r="E44" s="537"/>
      <c r="F44" s="537"/>
      <c r="G44" s="537"/>
      <c r="H44" s="537"/>
      <c r="I44" s="537"/>
      <c r="J44" s="537"/>
    </row>
    <row r="45" spans="1:10" ht="15" customHeight="1" x14ac:dyDescent="0.25">
      <c r="A45" s="1" t="s">
        <v>210</v>
      </c>
      <c r="E45" s="538"/>
      <c r="F45" s="538"/>
      <c r="G45" s="538"/>
      <c r="H45" s="538"/>
      <c r="I45" s="538"/>
      <c r="J45" s="538"/>
    </row>
    <row r="46" spans="1:10" ht="15" customHeight="1" x14ac:dyDescent="0.25"/>
    <row r="47" spans="1:10" ht="15" customHeight="1" x14ac:dyDescent="0.25">
      <c r="A47" s="144" t="s">
        <v>211</v>
      </c>
      <c r="B47" s="26"/>
      <c r="C47" s="26"/>
      <c r="D47" s="535"/>
      <c r="E47" s="536"/>
      <c r="F47" s="493" t="s">
        <v>212</v>
      </c>
      <c r="G47" s="493"/>
      <c r="H47" s="493"/>
      <c r="I47" s="493"/>
      <c r="J47" s="493"/>
    </row>
    <row r="48" spans="1:10" ht="15" customHeight="1" x14ac:dyDescent="0.25">
      <c r="A48" s="145" t="s">
        <v>213</v>
      </c>
      <c r="D48" s="535"/>
      <c r="E48" s="536"/>
      <c r="F48" s="493"/>
      <c r="G48" s="493"/>
      <c r="H48" s="493"/>
      <c r="I48" s="493"/>
      <c r="J48" s="493"/>
    </row>
    <row r="49" spans="1:10" ht="5.15" customHeight="1" x14ac:dyDescent="0.25">
      <c r="A49" s="147"/>
      <c r="B49" s="3"/>
      <c r="C49" s="3"/>
      <c r="D49" s="148"/>
      <c r="E49" s="149"/>
      <c r="F49" s="493"/>
      <c r="G49" s="493"/>
      <c r="H49" s="493"/>
      <c r="I49" s="493"/>
      <c r="J49" s="493"/>
    </row>
    <row r="50" spans="1:10" ht="15" customHeight="1" x14ac:dyDescent="0.25">
      <c r="A50" s="143" t="s">
        <v>214</v>
      </c>
      <c r="B50" s="2"/>
      <c r="E50" s="146"/>
      <c r="F50" s="493"/>
      <c r="G50" s="493"/>
      <c r="H50" s="493"/>
      <c r="I50" s="493"/>
      <c r="J50" s="493"/>
    </row>
    <row r="51" spans="1:10" ht="15" customHeight="1" x14ac:dyDescent="0.25">
      <c r="A51" s="497"/>
      <c r="B51" s="498"/>
      <c r="C51" s="498"/>
      <c r="D51" s="498"/>
      <c r="E51" s="499"/>
      <c r="F51" s="493"/>
      <c r="G51" s="493"/>
      <c r="H51" s="493"/>
      <c r="I51" s="493"/>
      <c r="J51" s="493"/>
    </row>
    <row r="52" spans="1:10" ht="15" customHeight="1" x14ac:dyDescent="0.25">
      <c r="A52" s="497"/>
      <c r="B52" s="498"/>
      <c r="C52" s="498"/>
      <c r="D52" s="498"/>
      <c r="E52" s="499"/>
      <c r="F52" s="493"/>
      <c r="G52" s="493"/>
      <c r="H52" s="493"/>
      <c r="I52" s="493"/>
      <c r="J52" s="493"/>
    </row>
    <row r="53" spans="1:10" ht="15" customHeight="1" x14ac:dyDescent="0.25">
      <c r="A53" s="489"/>
      <c r="B53" s="490"/>
      <c r="C53" s="490"/>
      <c r="D53" s="490"/>
      <c r="E53" s="491"/>
      <c r="F53" s="493"/>
      <c r="G53" s="493"/>
      <c r="H53" s="493"/>
      <c r="I53" s="493"/>
      <c r="J53" s="493"/>
    </row>
    <row r="54" spans="1:10" ht="15" customHeight="1" x14ac:dyDescent="0.25">
      <c r="A54" s="142"/>
      <c r="B54" s="2"/>
      <c r="F54" s="3"/>
      <c r="G54" s="3"/>
      <c r="I54" s="3"/>
      <c r="J54" s="150"/>
    </row>
    <row r="55" spans="1:10" x14ac:dyDescent="0.25">
      <c r="A55" s="142"/>
      <c r="B55" s="2"/>
      <c r="F55" s="4" t="s">
        <v>200</v>
      </c>
      <c r="G55" s="2"/>
      <c r="H55" s="2"/>
      <c r="I55" s="4" t="s">
        <v>201</v>
      </c>
      <c r="J55" s="161"/>
    </row>
    <row r="56" spans="1:10" x14ac:dyDescent="0.25">
      <c r="A56" s="142"/>
      <c r="B56" s="2"/>
      <c r="I56" s="161"/>
      <c r="J56" s="161"/>
    </row>
    <row r="57" spans="1:10" ht="15" customHeight="1" x14ac:dyDescent="0.25">
      <c r="I57" s="161"/>
      <c r="J57" s="161"/>
    </row>
    <row r="58" spans="1:10" ht="15" customHeight="1" x14ac:dyDescent="0.25">
      <c r="F58" s="33"/>
      <c r="G58" s="33"/>
      <c r="H58" s="33"/>
      <c r="I58" s="33"/>
      <c r="J58" s="33"/>
    </row>
  </sheetData>
  <sheetProtection algorithmName="SHA-512" hashValue="Fg+x3Vel8Qs2ZJdxj1dLHIcCq31vUw1aBtYq6RWsag8GOqao1hjRiqpzii6ECIg1yJaq+16LRhTzpMJ8XKfDcw==" saltValue="59WhKIj+JyYpqBlWLMirwg==" spinCount="100000" sheet="1" objects="1" scenarios="1"/>
  <mergeCells count="28">
    <mergeCell ref="E19:F19"/>
    <mergeCell ref="G13:J13"/>
    <mergeCell ref="G14:J14"/>
    <mergeCell ref="G15:J15"/>
    <mergeCell ref="A8:D8"/>
    <mergeCell ref="A9:D9"/>
    <mergeCell ref="I19:I21"/>
    <mergeCell ref="J19:J21"/>
    <mergeCell ref="G17:H17"/>
    <mergeCell ref="A10:D10"/>
    <mergeCell ref="A11:D11"/>
    <mergeCell ref="A12:D12"/>
    <mergeCell ref="G19:G21"/>
    <mergeCell ref="H19:H21"/>
    <mergeCell ref="A13:D13"/>
    <mergeCell ref="G12:J12"/>
    <mergeCell ref="D47:E47"/>
    <mergeCell ref="D48:E48"/>
    <mergeCell ref="F47:J53"/>
    <mergeCell ref="E44:J44"/>
    <mergeCell ref="A51:E53"/>
    <mergeCell ref="E45:J45"/>
    <mergeCell ref="A7:D7"/>
    <mergeCell ref="M4:M5"/>
    <mergeCell ref="A1:C3"/>
    <mergeCell ref="G1:J3"/>
    <mergeCell ref="I5:J5"/>
    <mergeCell ref="I6:J6"/>
  </mergeCells>
  <pageMargins left="0.23622047244094491" right="0.23622047244094491" top="0.39370078740157483" bottom="0.39370078740157483" header="0.31496062992125984" footer="0.31496062992125984"/>
  <pageSetup paperSize="9" scale="94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8" tint="0.59999389629810485"/>
    <pageSetUpPr fitToPage="1"/>
  </sheetPr>
  <dimension ref="A1:R84"/>
  <sheetViews>
    <sheetView showGridLines="0" showZeros="0" zoomScaleNormal="100" workbookViewId="0">
      <selection activeCell="C1" sqref="C1"/>
    </sheetView>
  </sheetViews>
  <sheetFormatPr baseColWidth="10" defaultColWidth="11.453125" defaultRowHeight="13" x14ac:dyDescent="0.3"/>
  <cols>
    <col min="1" max="1" width="2.453125" style="189" bestFit="1" customWidth="1"/>
    <col min="2" max="2" width="3.26953125" style="190" customWidth="1"/>
    <col min="3" max="3" width="12" style="190" customWidth="1"/>
    <col min="4" max="4" width="7.453125" style="190" customWidth="1"/>
    <col min="5" max="5" width="1.81640625" style="190" customWidth="1"/>
    <col min="6" max="6" width="10.26953125" style="190" customWidth="1"/>
    <col min="7" max="7" width="1.7265625" style="190" customWidth="1"/>
    <col min="8" max="9" width="5.7265625" style="190" customWidth="1"/>
    <col min="10" max="11" width="6.26953125" style="190" customWidth="1"/>
    <col min="12" max="12" width="4" style="190" customWidth="1"/>
    <col min="13" max="13" width="2.1796875" style="190" bestFit="1" customWidth="1"/>
    <col min="14" max="14" width="2.7265625" style="190" customWidth="1"/>
    <col min="15" max="15" width="14.7265625" style="190" customWidth="1"/>
    <col min="16" max="16" width="2.7265625" style="190" customWidth="1"/>
    <col min="17" max="17" width="1.7265625" style="190" customWidth="1"/>
    <col min="18" max="18" width="14.1796875" style="190" customWidth="1"/>
    <col min="19" max="16384" width="11.453125" style="190"/>
  </cols>
  <sheetData>
    <row r="1" spans="1:18" ht="17" x14ac:dyDescent="0.5">
      <c r="A1" s="195" t="s">
        <v>215</v>
      </c>
      <c r="B1" s="395" t="s">
        <v>216</v>
      </c>
      <c r="C1" s="214" t="s">
        <v>217</v>
      </c>
    </row>
    <row r="2" spans="1:18" ht="3" customHeight="1" x14ac:dyDescent="0.5">
      <c r="A2" s="195"/>
      <c r="C2" s="214"/>
    </row>
    <row r="3" spans="1:18" ht="17" x14ac:dyDescent="0.5">
      <c r="A3" s="195" t="s">
        <v>218</v>
      </c>
      <c r="B3" s="396"/>
      <c r="C3" s="214" t="s">
        <v>219</v>
      </c>
    </row>
    <row r="4" spans="1:18" ht="9" customHeight="1" x14ac:dyDescent="0.3">
      <c r="A4" s="195"/>
      <c r="C4" s="199"/>
    </row>
    <row r="5" spans="1:18" ht="13.5" customHeight="1" x14ac:dyDescent="0.3">
      <c r="A5" s="195" t="s">
        <v>220</v>
      </c>
      <c r="B5" s="557" t="str">
        <f>IF('PA 1'!$F$6="","",'PA 1'!$F$6)</f>
        <v/>
      </c>
      <c r="C5" s="557"/>
      <c r="D5" s="557"/>
      <c r="E5" s="557"/>
      <c r="F5" s="557"/>
      <c r="G5" s="375"/>
      <c r="H5" s="558" cm="1">
        <f t="array" ref="H5">'PA 1'!F7:F7</f>
        <v>0</v>
      </c>
      <c r="I5" s="558"/>
      <c r="J5" s="558"/>
      <c r="K5" s="558"/>
      <c r="M5" s="200" t="s">
        <v>221</v>
      </c>
      <c r="N5" s="396"/>
      <c r="O5" s="560" t="s">
        <v>222</v>
      </c>
      <c r="P5" s="560"/>
      <c r="Q5" s="560"/>
      <c r="R5" s="560"/>
    </row>
    <row r="6" spans="1:18" x14ac:dyDescent="0.3">
      <c r="A6" s="195"/>
      <c r="B6" s="194" t="s">
        <v>223</v>
      </c>
      <c r="C6" s="205"/>
      <c r="D6" s="194"/>
      <c r="E6" s="205"/>
      <c r="H6" s="194" t="s">
        <v>224</v>
      </c>
      <c r="M6" s="200"/>
      <c r="O6" s="560"/>
      <c r="P6" s="560"/>
      <c r="Q6" s="560"/>
      <c r="R6" s="560"/>
    </row>
    <row r="7" spans="1:18" ht="13.5" customHeight="1" x14ac:dyDescent="0.3">
      <c r="A7" s="195" t="s">
        <v>225</v>
      </c>
      <c r="B7" s="559">
        <f>'PA 1'!A21</f>
        <v>46387</v>
      </c>
      <c r="C7" s="559"/>
      <c r="E7" s="195" t="s">
        <v>226</v>
      </c>
      <c r="F7" s="397">
        <f>IF('PA 1'!$Q$37=0,0,IF('PA 1'!$C$14&lt;'PA 1'!$C$21,'PA 1'!$C$21,'PA 1'!$C$14))</f>
        <v>0</v>
      </c>
      <c r="G7" s="397"/>
      <c r="H7" s="1"/>
      <c r="I7" s="558">
        <f>IF('PA 1'!$Q$37=0,0,IF('PA 1'!$C$15&gt;0,'PA 1'!$C$15,B7))</f>
        <v>0</v>
      </c>
      <c r="J7" s="558"/>
      <c r="M7" s="200" t="s">
        <v>227</v>
      </c>
      <c r="N7" s="396"/>
      <c r="O7" s="560" t="s">
        <v>228</v>
      </c>
      <c r="P7" s="560"/>
      <c r="Q7" s="560"/>
      <c r="R7" s="560"/>
    </row>
    <row r="8" spans="1:18" x14ac:dyDescent="0.3">
      <c r="A8" s="195"/>
      <c r="B8" s="194" t="s">
        <v>229</v>
      </c>
      <c r="C8" s="194"/>
      <c r="D8" s="194"/>
      <c r="E8" s="194"/>
      <c r="F8" s="194" t="s">
        <v>230</v>
      </c>
      <c r="G8" s="194"/>
      <c r="H8" s="194"/>
      <c r="I8" s="194" t="s">
        <v>231</v>
      </c>
      <c r="M8" s="200"/>
      <c r="O8" s="560"/>
      <c r="P8" s="560"/>
      <c r="Q8" s="560"/>
      <c r="R8" s="560"/>
    </row>
    <row r="9" spans="1:18" x14ac:dyDescent="0.3">
      <c r="A9" s="195" t="s">
        <v>232</v>
      </c>
    </row>
    <row r="10" spans="1:18" x14ac:dyDescent="0.3">
      <c r="A10" s="195"/>
    </row>
    <row r="11" spans="1:18" x14ac:dyDescent="0.3">
      <c r="A11" s="195"/>
      <c r="L11" s="1" t="str">
        <f>CONCATENATE('PA 1'!C6:C6," ",'PA 1'!C7:C7)</f>
        <v xml:space="preserve"> </v>
      </c>
    </row>
    <row r="12" spans="1:18" x14ac:dyDescent="0.3">
      <c r="A12" s="195"/>
      <c r="L12" s="1">
        <f>'PA 1'!C8:C8</f>
        <v>0</v>
      </c>
    </row>
    <row r="13" spans="1:18" x14ac:dyDescent="0.3">
      <c r="A13" s="195"/>
      <c r="L13" s="1">
        <f>'PA 1'!C9:C9</f>
        <v>0</v>
      </c>
    </row>
    <row r="14" spans="1:18" x14ac:dyDescent="0.3">
      <c r="A14" s="195"/>
    </row>
    <row r="15" spans="1:18" x14ac:dyDescent="0.3">
      <c r="A15" s="195"/>
    </row>
    <row r="16" spans="1:18" x14ac:dyDescent="0.3">
      <c r="A16" s="195"/>
    </row>
    <row r="17" spans="1:18" x14ac:dyDescent="0.3">
      <c r="A17" s="195"/>
    </row>
    <row r="18" spans="1:18" ht="13.5" customHeight="1" x14ac:dyDescent="0.3">
      <c r="A18" s="195"/>
      <c r="R18" s="561" t="s">
        <v>233</v>
      </c>
    </row>
    <row r="19" spans="1:18" x14ac:dyDescent="0.3">
      <c r="A19" s="195">
        <v>1</v>
      </c>
      <c r="B19" s="189" t="s">
        <v>234</v>
      </c>
      <c r="C19" s="189"/>
      <c r="D19" s="189" t="s">
        <v>235</v>
      </c>
      <c r="E19" s="189"/>
      <c r="F19" s="189"/>
      <c r="G19" s="189"/>
      <c r="H19" s="189"/>
      <c r="I19" s="189"/>
      <c r="J19" s="193" t="s">
        <v>236</v>
      </c>
      <c r="K19" s="193"/>
      <c r="L19" s="189"/>
      <c r="M19" s="189"/>
      <c r="N19" s="189"/>
      <c r="Q19" s="213"/>
      <c r="R19" s="561"/>
    </row>
    <row r="20" spans="1:18" x14ac:dyDescent="0.3">
      <c r="A20" s="195"/>
      <c r="B20" s="189" t="s">
        <v>237</v>
      </c>
      <c r="C20" s="189"/>
      <c r="D20" s="189" t="s">
        <v>238</v>
      </c>
      <c r="E20" s="189"/>
      <c r="F20" s="189"/>
      <c r="G20" s="189"/>
      <c r="H20" s="189"/>
      <c r="I20" s="189"/>
      <c r="J20" s="193" t="s">
        <v>236</v>
      </c>
      <c r="K20" s="193"/>
      <c r="L20" s="189"/>
      <c r="M20" s="189"/>
      <c r="N20" s="189"/>
      <c r="Q20" s="213"/>
      <c r="R20" s="561"/>
    </row>
    <row r="21" spans="1:18" x14ac:dyDescent="0.3">
      <c r="A21" s="195"/>
      <c r="B21" s="201" t="s">
        <v>239</v>
      </c>
      <c r="C21" s="201"/>
      <c r="D21" s="201" t="s">
        <v>240</v>
      </c>
      <c r="E21" s="201"/>
      <c r="F21" s="201"/>
      <c r="G21" s="201"/>
      <c r="H21" s="201"/>
      <c r="I21" s="201"/>
      <c r="J21" s="202" t="s">
        <v>241</v>
      </c>
      <c r="K21" s="202"/>
      <c r="L21" s="201"/>
      <c r="M21" s="201"/>
      <c r="N21" s="201"/>
      <c r="O21" s="203"/>
      <c r="P21" s="203"/>
      <c r="R21" s="398">
        <f>'PA 1'!Q37-'PA 1'!Q31</f>
        <v>0</v>
      </c>
    </row>
    <row r="22" spans="1:18" ht="3" customHeight="1" x14ac:dyDescent="0.3">
      <c r="A22" s="195"/>
      <c r="B22" s="189"/>
      <c r="C22" s="189"/>
      <c r="D22" s="189"/>
      <c r="E22" s="189"/>
      <c r="F22" s="206"/>
      <c r="G22" s="206"/>
      <c r="H22" s="206"/>
      <c r="I22" s="206"/>
      <c r="J22" s="207"/>
      <c r="K22" s="207"/>
      <c r="L22" s="206"/>
      <c r="M22" s="206"/>
      <c r="N22" s="206"/>
      <c r="O22" s="208"/>
      <c r="P22" s="208"/>
      <c r="R22" s="215"/>
    </row>
    <row r="23" spans="1:18" x14ac:dyDescent="0.3">
      <c r="A23" s="195">
        <v>2</v>
      </c>
      <c r="B23" s="189" t="s">
        <v>242</v>
      </c>
      <c r="C23" s="189"/>
      <c r="D23" s="189"/>
      <c r="E23" s="189"/>
      <c r="F23" s="201" t="s">
        <v>243</v>
      </c>
      <c r="G23" s="201"/>
      <c r="H23" s="201"/>
      <c r="I23" s="203"/>
      <c r="J23" s="201"/>
      <c r="K23" s="201"/>
      <c r="L23" s="201"/>
      <c r="M23" s="201"/>
      <c r="N23" s="201"/>
      <c r="O23" s="203"/>
      <c r="P23" s="203"/>
      <c r="Q23" s="192" t="s">
        <v>244</v>
      </c>
      <c r="R23" s="399">
        <f>'PA 1'!Q31</f>
        <v>0</v>
      </c>
    </row>
    <row r="24" spans="1:18" ht="3" customHeight="1" x14ac:dyDescent="0.3">
      <c r="A24" s="195"/>
      <c r="B24" s="189"/>
      <c r="C24" s="189"/>
      <c r="D24" s="189"/>
      <c r="E24" s="189"/>
      <c r="F24" s="206"/>
      <c r="G24" s="206"/>
      <c r="H24" s="206"/>
      <c r="I24" s="208"/>
      <c r="J24" s="206"/>
      <c r="K24" s="206"/>
      <c r="L24" s="206"/>
      <c r="M24" s="206"/>
      <c r="N24" s="206"/>
      <c r="O24" s="208"/>
      <c r="P24" s="208"/>
      <c r="Q24" s="192"/>
      <c r="R24" s="215"/>
    </row>
    <row r="25" spans="1:18" x14ac:dyDescent="0.3">
      <c r="A25" s="195"/>
      <c r="B25" s="189" t="s">
        <v>245</v>
      </c>
      <c r="C25" s="189"/>
      <c r="D25" s="189"/>
      <c r="E25" s="189"/>
      <c r="F25" s="201" t="s">
        <v>246</v>
      </c>
      <c r="G25" s="201"/>
      <c r="H25" s="201"/>
      <c r="I25" s="201"/>
      <c r="J25" s="201"/>
      <c r="K25" s="201"/>
      <c r="L25" s="201"/>
      <c r="M25" s="201"/>
      <c r="N25" s="201"/>
      <c r="O25" s="203"/>
      <c r="P25" s="203"/>
      <c r="Q25" s="192" t="s">
        <v>244</v>
      </c>
      <c r="R25" s="399"/>
    </row>
    <row r="26" spans="1:18" ht="3" customHeight="1" x14ac:dyDescent="0.3">
      <c r="A26" s="195"/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Q26" s="192"/>
      <c r="R26" s="216"/>
    </row>
    <row r="27" spans="1:18" x14ac:dyDescent="0.3">
      <c r="A27" s="195"/>
      <c r="B27" s="189" t="s">
        <v>247</v>
      </c>
      <c r="C27" s="189"/>
      <c r="D27" s="189"/>
      <c r="E27" s="189"/>
      <c r="F27" s="189" t="s">
        <v>248</v>
      </c>
      <c r="G27" s="189"/>
      <c r="H27" s="189"/>
      <c r="I27" s="189"/>
      <c r="J27" s="553"/>
      <c r="K27" s="553"/>
      <c r="L27" s="553"/>
      <c r="M27" s="553"/>
      <c r="N27" s="553"/>
      <c r="O27" s="553"/>
      <c r="P27" s="553"/>
      <c r="Q27" s="192" t="s">
        <v>244</v>
      </c>
      <c r="R27" s="399"/>
    </row>
    <row r="28" spans="1:18" ht="9.75" customHeight="1" x14ac:dyDescent="0.3">
      <c r="A28" s="195"/>
      <c r="B28" s="189"/>
      <c r="C28" s="189"/>
      <c r="D28" s="189"/>
      <c r="E28" s="189"/>
      <c r="F28" s="191" t="s">
        <v>249</v>
      </c>
      <c r="G28" s="191"/>
      <c r="H28" s="191"/>
      <c r="I28" s="189"/>
      <c r="J28" s="189"/>
      <c r="K28" s="189"/>
      <c r="L28" s="189"/>
      <c r="M28" s="189"/>
      <c r="N28" s="189"/>
      <c r="R28" s="217"/>
    </row>
    <row r="29" spans="1:18" x14ac:dyDescent="0.3">
      <c r="A29" s="195">
        <v>3</v>
      </c>
      <c r="B29" s="189" t="s">
        <v>250</v>
      </c>
      <c r="C29" s="189"/>
      <c r="D29" s="189"/>
      <c r="E29" s="189"/>
      <c r="F29" s="189"/>
      <c r="G29" s="189"/>
      <c r="H29" s="189"/>
      <c r="I29" s="189"/>
      <c r="J29" s="189"/>
      <c r="K29" s="191" t="s">
        <v>249</v>
      </c>
      <c r="M29" s="189"/>
      <c r="N29" s="189"/>
      <c r="Q29" s="192" t="s">
        <v>244</v>
      </c>
      <c r="R29" s="217"/>
    </row>
    <row r="30" spans="1:18" x14ac:dyDescent="0.3">
      <c r="A30" s="195"/>
      <c r="B30" s="553"/>
      <c r="C30" s="553"/>
      <c r="D30" s="553"/>
      <c r="E30" s="553"/>
      <c r="F30" s="553"/>
      <c r="G30" s="553"/>
      <c r="H30" s="553"/>
      <c r="I30" s="553"/>
      <c r="J30" s="553"/>
      <c r="K30" s="553"/>
      <c r="L30" s="553"/>
      <c r="M30" s="553"/>
      <c r="N30" s="553"/>
      <c r="O30" s="553"/>
      <c r="P30" s="553"/>
      <c r="R30" s="399"/>
    </row>
    <row r="31" spans="1:18" ht="3" customHeight="1" x14ac:dyDescent="0.3">
      <c r="A31" s="195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R31" s="215"/>
    </row>
    <row r="32" spans="1:18" x14ac:dyDescent="0.3">
      <c r="A32" s="195">
        <v>4</v>
      </c>
      <c r="B32" s="189" t="s">
        <v>251</v>
      </c>
      <c r="C32" s="189"/>
      <c r="D32" s="189"/>
      <c r="E32" s="189"/>
      <c r="F32" s="189"/>
      <c r="G32" s="189"/>
      <c r="H32" s="189"/>
      <c r="I32" s="553"/>
      <c r="J32" s="553"/>
      <c r="K32" s="553"/>
      <c r="L32" s="553"/>
      <c r="M32" s="553"/>
      <c r="N32" s="553"/>
      <c r="O32" s="553"/>
      <c r="P32" s="553"/>
      <c r="Q32" s="192" t="s">
        <v>244</v>
      </c>
      <c r="R32" s="399"/>
    </row>
    <row r="33" spans="1:18" ht="9" customHeight="1" x14ac:dyDescent="0.3">
      <c r="A33" s="195"/>
      <c r="B33" s="191" t="s">
        <v>249</v>
      </c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R33" s="217"/>
    </row>
    <row r="34" spans="1:18" x14ac:dyDescent="0.3">
      <c r="A34" s="195">
        <v>5</v>
      </c>
      <c r="B34" s="201" t="s">
        <v>252</v>
      </c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3"/>
      <c r="P34" s="203"/>
      <c r="Q34" s="192" t="s">
        <v>244</v>
      </c>
      <c r="R34" s="399"/>
    </row>
    <row r="35" spans="1:18" ht="3" customHeight="1" x14ac:dyDescent="0.3">
      <c r="A35" s="195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Q35" s="192"/>
      <c r="R35" s="216"/>
    </row>
    <row r="36" spans="1:18" x14ac:dyDescent="0.3">
      <c r="A36" s="195">
        <v>6</v>
      </c>
      <c r="B36" s="201" t="s">
        <v>253</v>
      </c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3"/>
      <c r="P36" s="203"/>
      <c r="Q36" s="192" t="s">
        <v>244</v>
      </c>
      <c r="R36" s="399"/>
    </row>
    <row r="37" spans="1:18" ht="3" customHeight="1" x14ac:dyDescent="0.3">
      <c r="A37" s="195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Q37" s="192"/>
      <c r="R37" s="216"/>
    </row>
    <row r="38" spans="1:18" x14ac:dyDescent="0.3">
      <c r="A38" s="195">
        <v>7</v>
      </c>
      <c r="B38" s="189" t="s">
        <v>254</v>
      </c>
      <c r="C38" s="189"/>
      <c r="D38" s="189"/>
      <c r="E38" s="189"/>
      <c r="F38" s="189"/>
      <c r="G38" s="189"/>
      <c r="H38" s="189"/>
      <c r="I38" s="553"/>
      <c r="J38" s="553"/>
      <c r="K38" s="553"/>
      <c r="L38" s="553"/>
      <c r="M38" s="553"/>
      <c r="N38" s="553"/>
      <c r="O38" s="553"/>
      <c r="P38" s="553"/>
      <c r="Q38" s="192" t="s">
        <v>244</v>
      </c>
      <c r="R38" s="399"/>
    </row>
    <row r="39" spans="1:18" ht="9" customHeight="1" x14ac:dyDescent="0.3">
      <c r="A39" s="195"/>
      <c r="B39" s="191" t="s">
        <v>249</v>
      </c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R39" s="217"/>
    </row>
    <row r="40" spans="1:18" x14ac:dyDescent="0.3">
      <c r="A40" s="195">
        <v>8</v>
      </c>
      <c r="B40" s="201" t="s">
        <v>255</v>
      </c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3"/>
      <c r="P40" s="203"/>
      <c r="Q40" s="192" t="s">
        <v>256</v>
      </c>
      <c r="R40" s="399">
        <f>SUM(R21:R39)</f>
        <v>0</v>
      </c>
    </row>
    <row r="41" spans="1:18" ht="3" customHeight="1" x14ac:dyDescent="0.3">
      <c r="A41" s="195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Q41" s="192"/>
      <c r="R41" s="216"/>
    </row>
    <row r="42" spans="1:18" x14ac:dyDescent="0.3">
      <c r="A42" s="195">
        <v>9</v>
      </c>
      <c r="B42" s="201" t="s">
        <v>257</v>
      </c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3"/>
      <c r="P42" s="203"/>
      <c r="Q42" s="192" t="s">
        <v>44</v>
      </c>
      <c r="R42" s="399">
        <f>('PA 1'!Q40+'PA 1'!Q41+'PA 1'!Q42)*-1</f>
        <v>0</v>
      </c>
    </row>
    <row r="43" spans="1:18" ht="3" customHeight="1" x14ac:dyDescent="0.3">
      <c r="A43" s="195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Q43" s="192"/>
      <c r="R43" s="216"/>
    </row>
    <row r="44" spans="1:18" x14ac:dyDescent="0.3">
      <c r="A44" s="195">
        <v>10</v>
      </c>
      <c r="B44" s="189" t="s">
        <v>258</v>
      </c>
      <c r="C44" s="189"/>
      <c r="D44" s="189"/>
      <c r="E44" s="189" t="s">
        <v>259</v>
      </c>
      <c r="F44" s="189"/>
      <c r="G44" s="189"/>
      <c r="H44" s="201" t="s">
        <v>260</v>
      </c>
      <c r="I44" s="203"/>
      <c r="J44" s="201"/>
      <c r="K44" s="201"/>
      <c r="L44" s="201"/>
      <c r="M44" s="201"/>
      <c r="N44" s="201"/>
      <c r="O44" s="203"/>
      <c r="P44" s="203"/>
      <c r="Q44" s="192" t="s">
        <v>44</v>
      </c>
      <c r="R44" s="399">
        <f>'PA 1'!Q44*-1</f>
        <v>0</v>
      </c>
    </row>
    <row r="45" spans="1:18" x14ac:dyDescent="0.3">
      <c r="A45" s="195"/>
      <c r="B45" s="189" t="s">
        <v>261</v>
      </c>
      <c r="C45" s="189"/>
      <c r="D45" s="189"/>
      <c r="E45" s="189" t="s">
        <v>262</v>
      </c>
      <c r="F45" s="189"/>
      <c r="G45" s="189"/>
      <c r="H45" s="189"/>
      <c r="J45" s="189"/>
      <c r="K45" s="189"/>
      <c r="L45" s="189"/>
      <c r="M45" s="189"/>
      <c r="N45" s="189"/>
      <c r="R45" s="217"/>
    </row>
    <row r="46" spans="1:18" x14ac:dyDescent="0.3">
      <c r="A46" s="195"/>
      <c r="B46" s="189" t="s">
        <v>263</v>
      </c>
      <c r="C46" s="189"/>
      <c r="E46" s="189" t="s">
        <v>264</v>
      </c>
      <c r="H46" s="201" t="s">
        <v>265</v>
      </c>
      <c r="I46" s="203"/>
      <c r="J46" s="203"/>
      <c r="K46" s="203"/>
      <c r="L46" s="203"/>
      <c r="M46" s="203"/>
      <c r="N46" s="203"/>
      <c r="O46" s="203"/>
      <c r="P46" s="203"/>
      <c r="Q46" s="192" t="s">
        <v>44</v>
      </c>
      <c r="R46" s="399"/>
    </row>
    <row r="47" spans="1:18" ht="3" customHeight="1" x14ac:dyDescent="0.3">
      <c r="A47" s="195"/>
      <c r="B47" s="189"/>
      <c r="C47" s="189"/>
      <c r="E47" s="189"/>
      <c r="H47" s="189"/>
      <c r="Q47" s="192"/>
      <c r="R47" s="216"/>
    </row>
    <row r="48" spans="1:18" x14ac:dyDescent="0.3">
      <c r="A48" s="195">
        <v>11</v>
      </c>
      <c r="B48" s="204" t="s">
        <v>266</v>
      </c>
      <c r="C48" s="201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3"/>
      <c r="O48" s="203"/>
      <c r="P48" s="203"/>
      <c r="Q48" s="192" t="s">
        <v>256</v>
      </c>
      <c r="R48" s="399">
        <f>R40-SUM(R42:R46)</f>
        <v>0</v>
      </c>
    </row>
    <row r="49" spans="1:18" ht="9" customHeight="1" x14ac:dyDescent="0.3">
      <c r="A49" s="195"/>
      <c r="B49" s="196" t="s">
        <v>267</v>
      </c>
      <c r="C49" s="189"/>
      <c r="R49" s="217"/>
    </row>
    <row r="50" spans="1:18" x14ac:dyDescent="0.3">
      <c r="A50" s="195">
        <v>12</v>
      </c>
      <c r="B50" s="201" t="s">
        <v>268</v>
      </c>
      <c r="C50" s="201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R50" s="399">
        <f>'PA 1'!Q46*-1</f>
        <v>0</v>
      </c>
    </row>
    <row r="51" spans="1:18" x14ac:dyDescent="0.3">
      <c r="A51" s="195">
        <v>13</v>
      </c>
      <c r="B51" s="189" t="s">
        <v>269</v>
      </c>
      <c r="C51" s="189"/>
      <c r="R51" s="218"/>
    </row>
    <row r="52" spans="1:18" ht="9" customHeight="1" x14ac:dyDescent="0.3">
      <c r="B52" s="191" t="s">
        <v>270</v>
      </c>
      <c r="R52" s="218"/>
    </row>
    <row r="53" spans="1:18" ht="13.5" customHeight="1" x14ac:dyDescent="0.3">
      <c r="A53" s="562">
        <v>13.1</v>
      </c>
      <c r="B53" s="562"/>
      <c r="C53" s="564" t="s">
        <v>271</v>
      </c>
      <c r="D53" s="197" t="s">
        <v>272</v>
      </c>
      <c r="E53" s="201" t="s">
        <v>273</v>
      </c>
      <c r="F53" s="201"/>
      <c r="G53" s="201"/>
      <c r="H53" s="201"/>
      <c r="I53" s="203"/>
      <c r="J53" s="203"/>
      <c r="K53" s="203"/>
      <c r="L53" s="203"/>
      <c r="M53" s="203"/>
      <c r="N53" s="203"/>
      <c r="O53" s="203"/>
      <c r="P53" s="395" t="s">
        <v>216</v>
      </c>
      <c r="R53" s="401"/>
    </row>
    <row r="54" spans="1:18" ht="3" customHeight="1" x14ac:dyDescent="0.3">
      <c r="A54" s="210"/>
      <c r="B54" s="210"/>
      <c r="C54" s="564"/>
      <c r="D54" s="197"/>
      <c r="E54" s="189"/>
      <c r="F54" s="189"/>
      <c r="G54" s="189"/>
      <c r="H54" s="189"/>
      <c r="R54" s="219"/>
    </row>
    <row r="55" spans="1:18" x14ac:dyDescent="0.3">
      <c r="A55" s="195"/>
      <c r="B55" s="195"/>
      <c r="C55" s="564"/>
      <c r="D55" s="198" t="s">
        <v>274</v>
      </c>
      <c r="E55" s="189" t="s">
        <v>275</v>
      </c>
      <c r="F55" s="189"/>
      <c r="G55" s="189"/>
      <c r="H55" s="189"/>
      <c r="I55" s="554"/>
      <c r="J55" s="554"/>
      <c r="K55" s="554"/>
      <c r="L55" s="554"/>
      <c r="M55" s="554"/>
      <c r="N55" s="554"/>
      <c r="O55" s="554"/>
      <c r="P55" s="554"/>
      <c r="R55" s="401"/>
    </row>
    <row r="56" spans="1:18" ht="9" customHeight="1" x14ac:dyDescent="0.3">
      <c r="A56" s="195"/>
      <c r="B56" s="195"/>
      <c r="C56" s="564"/>
      <c r="D56" s="199"/>
      <c r="E56" s="194" t="s">
        <v>249</v>
      </c>
      <c r="R56" s="218"/>
    </row>
    <row r="57" spans="1:18" x14ac:dyDescent="0.3">
      <c r="A57" s="563">
        <v>13.2</v>
      </c>
      <c r="B57" s="563"/>
      <c r="C57" s="189" t="s">
        <v>276</v>
      </c>
      <c r="D57" s="198" t="s">
        <v>277</v>
      </c>
      <c r="E57" s="201" t="s">
        <v>278</v>
      </c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R57" s="401"/>
    </row>
    <row r="58" spans="1:18" ht="3" customHeight="1" x14ac:dyDescent="0.3">
      <c r="A58" s="211"/>
      <c r="B58" s="211"/>
      <c r="C58" s="189"/>
      <c r="D58" s="198"/>
      <c r="E58" s="189"/>
      <c r="R58" s="220"/>
    </row>
    <row r="59" spans="1:18" x14ac:dyDescent="0.3">
      <c r="A59" s="195"/>
      <c r="B59" s="195"/>
      <c r="C59" s="189" t="s">
        <v>279</v>
      </c>
      <c r="D59" s="198" t="s">
        <v>280</v>
      </c>
      <c r="E59" s="201" t="s">
        <v>281</v>
      </c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R59" s="401"/>
    </row>
    <row r="60" spans="1:18" ht="3" customHeight="1" x14ac:dyDescent="0.3">
      <c r="A60" s="195"/>
      <c r="B60" s="195"/>
      <c r="C60" s="189"/>
      <c r="D60" s="198"/>
      <c r="E60" s="189"/>
      <c r="I60" s="208"/>
      <c r="J60" s="208"/>
      <c r="K60" s="208"/>
      <c r="L60" s="208"/>
      <c r="M60" s="208"/>
      <c r="N60" s="208"/>
      <c r="O60" s="208"/>
      <c r="P60" s="208"/>
      <c r="R60" s="220"/>
    </row>
    <row r="61" spans="1:18" x14ac:dyDescent="0.3">
      <c r="A61" s="195"/>
      <c r="B61" s="195"/>
      <c r="C61" s="189" t="s">
        <v>282</v>
      </c>
      <c r="D61" s="198" t="s">
        <v>283</v>
      </c>
      <c r="E61" s="189" t="s">
        <v>275</v>
      </c>
      <c r="I61" s="554"/>
      <c r="J61" s="554"/>
      <c r="K61" s="554"/>
      <c r="L61" s="554"/>
      <c r="M61" s="554"/>
      <c r="N61" s="554"/>
      <c r="O61" s="554"/>
      <c r="P61" s="554"/>
      <c r="R61" s="401"/>
    </row>
    <row r="62" spans="1:18" ht="9" customHeight="1" x14ac:dyDescent="0.3">
      <c r="B62" s="189"/>
      <c r="C62" s="189"/>
      <c r="E62" s="194" t="s">
        <v>249</v>
      </c>
      <c r="R62" s="218"/>
    </row>
    <row r="63" spans="1:18" x14ac:dyDescent="0.3">
      <c r="A63" s="562">
        <v>13.3</v>
      </c>
      <c r="B63" s="562"/>
      <c r="C63" s="201" t="s">
        <v>284</v>
      </c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R63" s="401"/>
    </row>
    <row r="64" spans="1:18" ht="3" customHeight="1" x14ac:dyDescent="0.3">
      <c r="A64" s="210"/>
      <c r="B64" s="210"/>
      <c r="C64" s="189"/>
    </row>
    <row r="65" spans="1:18" x14ac:dyDescent="0.3">
      <c r="A65" s="195">
        <v>14</v>
      </c>
      <c r="B65" s="189" t="s">
        <v>285</v>
      </c>
      <c r="C65" s="189"/>
      <c r="F65" s="189" t="s">
        <v>286</v>
      </c>
      <c r="G65" s="189"/>
      <c r="H65" s="189"/>
      <c r="I65" s="554"/>
      <c r="J65" s="554"/>
      <c r="K65" s="554"/>
      <c r="L65" s="554"/>
      <c r="M65" s="554"/>
      <c r="N65" s="554"/>
      <c r="O65" s="554"/>
      <c r="P65" s="554"/>
      <c r="Q65" s="554"/>
      <c r="R65" s="554"/>
    </row>
    <row r="66" spans="1:18" ht="3" customHeight="1" x14ac:dyDescent="0.3">
      <c r="A66" s="195"/>
      <c r="B66" s="189"/>
      <c r="C66" s="189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2"/>
      <c r="O66" s="212"/>
      <c r="P66" s="212"/>
      <c r="Q66" s="212"/>
      <c r="R66" s="212"/>
    </row>
    <row r="67" spans="1:18" x14ac:dyDescent="0.3">
      <c r="A67" s="195"/>
      <c r="B67" s="189" t="s">
        <v>287</v>
      </c>
      <c r="C67" s="189"/>
      <c r="F67" s="189" t="s">
        <v>288</v>
      </c>
      <c r="G67" s="189"/>
      <c r="H67" s="189"/>
      <c r="I67" s="554"/>
      <c r="J67" s="554"/>
      <c r="K67" s="554"/>
      <c r="L67" s="554"/>
      <c r="M67" s="554"/>
      <c r="N67" s="554"/>
      <c r="O67" s="554"/>
      <c r="P67" s="554"/>
      <c r="Q67" s="554"/>
      <c r="R67" s="554"/>
    </row>
    <row r="68" spans="1:18" ht="3" customHeight="1" x14ac:dyDescent="0.3">
      <c r="A68" s="195"/>
      <c r="B68" s="189"/>
      <c r="C68" s="189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2"/>
      <c r="Q68" s="212"/>
      <c r="R68" s="212"/>
    </row>
    <row r="69" spans="1:18" x14ac:dyDescent="0.3">
      <c r="A69" s="195"/>
      <c r="B69" s="189" t="s">
        <v>289</v>
      </c>
      <c r="C69" s="189"/>
      <c r="F69" s="189" t="s">
        <v>290</v>
      </c>
      <c r="G69" s="189"/>
      <c r="H69" s="189"/>
      <c r="I69" s="554"/>
      <c r="J69" s="554"/>
      <c r="K69" s="554"/>
      <c r="L69" s="554"/>
      <c r="M69" s="554"/>
      <c r="N69" s="554"/>
      <c r="O69" s="554"/>
      <c r="P69" s="554"/>
      <c r="Q69" s="554"/>
      <c r="R69" s="554"/>
    </row>
    <row r="70" spans="1:18" ht="3" customHeight="1" x14ac:dyDescent="0.3">
      <c r="A70" s="195"/>
      <c r="B70" s="189"/>
      <c r="C70" s="189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2"/>
      <c r="O70" s="212"/>
      <c r="P70" s="212"/>
      <c r="Q70" s="212"/>
      <c r="R70" s="212"/>
    </row>
    <row r="71" spans="1:18" x14ac:dyDescent="0.3">
      <c r="A71" s="195">
        <v>15</v>
      </c>
      <c r="B71" s="189" t="s">
        <v>291</v>
      </c>
      <c r="C71" s="189"/>
      <c r="D71" s="556" t="str">
        <f>IF('PA 1'!L7&lt;100%,"Taux d'occupation "&amp;('PA 1'!L7+'PA 1'!L12)*100&amp;"%","")</f>
        <v>Taux d'occupation 0%</v>
      </c>
      <c r="E71" s="556"/>
      <c r="F71" s="556"/>
      <c r="G71" s="556"/>
      <c r="H71" s="556"/>
      <c r="I71" s="556"/>
      <c r="J71" s="556"/>
      <c r="K71" s="556"/>
      <c r="L71" s="556"/>
      <c r="M71" s="556"/>
      <c r="N71" s="556"/>
      <c r="O71" s="556"/>
      <c r="P71" s="556"/>
      <c r="Q71" s="556"/>
      <c r="R71" s="556"/>
    </row>
    <row r="72" spans="1:18" ht="3" customHeight="1" x14ac:dyDescent="0.3">
      <c r="A72" s="195"/>
      <c r="B72" s="189"/>
      <c r="C72" s="189"/>
      <c r="D72" s="223"/>
      <c r="E72" s="223"/>
      <c r="F72" s="223"/>
      <c r="G72" s="223"/>
      <c r="H72" s="223"/>
      <c r="I72" s="223"/>
      <c r="J72" s="223"/>
      <c r="K72" s="223"/>
      <c r="L72" s="223"/>
      <c r="M72" s="223"/>
      <c r="N72" s="223"/>
      <c r="O72" s="223"/>
      <c r="P72" s="223"/>
      <c r="Q72" s="223"/>
      <c r="R72" s="223"/>
    </row>
    <row r="73" spans="1:18" x14ac:dyDescent="0.3">
      <c r="A73" s="195"/>
      <c r="B73" s="189" t="s">
        <v>292</v>
      </c>
      <c r="C73" s="189"/>
      <c r="D73" s="557"/>
      <c r="E73" s="557"/>
      <c r="F73" s="557"/>
      <c r="G73" s="557"/>
      <c r="H73" s="557"/>
      <c r="I73" s="557"/>
      <c r="J73" s="557"/>
      <c r="K73" s="557"/>
      <c r="L73" s="557"/>
      <c r="M73" s="557"/>
      <c r="N73" s="557"/>
      <c r="O73" s="557"/>
      <c r="P73" s="557"/>
      <c r="Q73" s="557"/>
      <c r="R73" s="557"/>
    </row>
    <row r="74" spans="1:18" ht="3" customHeight="1" x14ac:dyDescent="0.3">
      <c r="A74" s="195"/>
      <c r="B74" s="189"/>
      <c r="C74" s="189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</row>
    <row r="75" spans="1:18" x14ac:dyDescent="0.3">
      <c r="A75" s="195"/>
      <c r="B75" s="189" t="s">
        <v>293</v>
      </c>
      <c r="C75" s="189"/>
      <c r="D75" s="557"/>
      <c r="E75" s="557"/>
      <c r="F75" s="557"/>
      <c r="G75" s="557"/>
      <c r="H75" s="557"/>
      <c r="I75" s="557"/>
      <c r="J75" s="557"/>
      <c r="K75" s="557"/>
      <c r="L75" s="557"/>
      <c r="M75" s="557"/>
      <c r="N75" s="557"/>
      <c r="O75" s="557"/>
      <c r="P75" s="557"/>
      <c r="Q75" s="557"/>
      <c r="R75" s="557"/>
    </row>
    <row r="76" spans="1:18" x14ac:dyDescent="0.3">
      <c r="A76" s="195"/>
      <c r="B76" s="189"/>
      <c r="C76" s="189"/>
    </row>
    <row r="77" spans="1:18" x14ac:dyDescent="0.3">
      <c r="A77" s="195" t="s">
        <v>294</v>
      </c>
      <c r="B77" s="189" t="s">
        <v>295</v>
      </c>
      <c r="C77" s="189"/>
      <c r="F77" s="189" t="s">
        <v>296</v>
      </c>
      <c r="G77" s="189"/>
      <c r="M77" s="498">
        <f>'Attestation du salaire (ord.)'!A8:A8</f>
        <v>0</v>
      </c>
      <c r="N77" s="498"/>
      <c r="O77" s="498"/>
      <c r="P77" s="498"/>
      <c r="Q77" s="498"/>
      <c r="R77" s="498"/>
    </row>
    <row r="78" spans="1:18" ht="9" customHeight="1" x14ac:dyDescent="0.3">
      <c r="B78" s="189"/>
      <c r="C78" s="189"/>
      <c r="F78" s="191" t="s">
        <v>297</v>
      </c>
      <c r="G78" s="191"/>
      <c r="M78" s="221"/>
      <c r="N78" s="221"/>
      <c r="O78" s="221"/>
      <c r="P78" s="221"/>
      <c r="Q78" s="221"/>
      <c r="R78" s="221"/>
    </row>
    <row r="79" spans="1:18" x14ac:dyDescent="0.3">
      <c r="B79" s="555"/>
      <c r="C79" s="555"/>
      <c r="D79" s="555"/>
      <c r="F79" s="189" t="s">
        <v>298</v>
      </c>
      <c r="G79" s="189"/>
      <c r="M79" s="498">
        <f>'Attestation du salaire (ord.)'!A9:A9</f>
        <v>0</v>
      </c>
      <c r="N79" s="498"/>
      <c r="O79" s="498"/>
      <c r="P79" s="498"/>
      <c r="Q79" s="498"/>
      <c r="R79" s="498"/>
    </row>
    <row r="80" spans="1:18" ht="9" customHeight="1" x14ac:dyDescent="0.3">
      <c r="B80" s="189"/>
      <c r="C80" s="189"/>
      <c r="F80" s="191" t="s">
        <v>299</v>
      </c>
      <c r="G80" s="191"/>
      <c r="M80" s="221"/>
      <c r="N80" s="221"/>
      <c r="O80" s="221"/>
      <c r="P80" s="221"/>
      <c r="Q80" s="221"/>
      <c r="R80" s="221"/>
    </row>
    <row r="81" spans="2:18" x14ac:dyDescent="0.3">
      <c r="B81" s="189"/>
      <c r="C81" s="189"/>
      <c r="F81" s="189" t="s">
        <v>300</v>
      </c>
      <c r="G81" s="189"/>
      <c r="M81" s="498">
        <f>'Attestation du salaire (ord.)'!A10:A10</f>
        <v>0</v>
      </c>
      <c r="N81" s="498"/>
      <c r="O81" s="498"/>
      <c r="P81" s="498"/>
      <c r="Q81" s="498"/>
      <c r="R81" s="498"/>
    </row>
    <row r="82" spans="2:18" ht="9" customHeight="1" x14ac:dyDescent="0.3">
      <c r="B82" s="189"/>
      <c r="C82" s="189"/>
      <c r="F82" s="191" t="s">
        <v>301</v>
      </c>
      <c r="G82" s="191"/>
      <c r="M82" s="222"/>
      <c r="N82" s="222"/>
      <c r="O82" s="222"/>
      <c r="P82" s="222"/>
      <c r="Q82" s="222"/>
      <c r="R82" s="222"/>
    </row>
    <row r="83" spans="2:18" x14ac:dyDescent="0.3">
      <c r="B83" s="189"/>
      <c r="C83" s="189"/>
      <c r="I83" s="189"/>
      <c r="M83" s="555" t="s">
        <v>302</v>
      </c>
      <c r="N83" s="555"/>
      <c r="O83" s="555"/>
      <c r="P83" s="555"/>
      <c r="Q83" s="555"/>
      <c r="R83" s="555"/>
    </row>
    <row r="84" spans="2:18" x14ac:dyDescent="0.3">
      <c r="B84" s="189"/>
      <c r="C84" s="189"/>
    </row>
  </sheetData>
  <sheetProtection algorithmName="SHA-512" hashValue="qQoMvBRoWfAzQiB/vDF89N7ck4GrqR04qL3RrJoAawT0Vujai57YssazY5D6YMPm+DO8w1cczMKnvBE1GkXVJQ==" saltValue="eJs8apzwm7XGUfcElpiKow==" spinCount="100000" sheet="1" objects="1" scenarios="1"/>
  <mergeCells count="28">
    <mergeCell ref="H5:K5"/>
    <mergeCell ref="B5:F5"/>
    <mergeCell ref="B7:C7"/>
    <mergeCell ref="I67:R67"/>
    <mergeCell ref="I69:R69"/>
    <mergeCell ref="I7:J7"/>
    <mergeCell ref="J27:P27"/>
    <mergeCell ref="O5:R6"/>
    <mergeCell ref="O7:R8"/>
    <mergeCell ref="R18:R20"/>
    <mergeCell ref="I65:R65"/>
    <mergeCell ref="A53:B53"/>
    <mergeCell ref="A57:B57"/>
    <mergeCell ref="A63:B63"/>
    <mergeCell ref="C53:C56"/>
    <mergeCell ref="B30:P30"/>
    <mergeCell ref="I32:P32"/>
    <mergeCell ref="I38:P38"/>
    <mergeCell ref="I55:P55"/>
    <mergeCell ref="I61:P61"/>
    <mergeCell ref="M83:R83"/>
    <mergeCell ref="M77:R77"/>
    <mergeCell ref="M79:R79"/>
    <mergeCell ref="M81:R81"/>
    <mergeCell ref="D71:R71"/>
    <mergeCell ref="D73:R73"/>
    <mergeCell ref="D75:R75"/>
    <mergeCell ref="B79:D79"/>
  </mergeCells>
  <pageMargins left="0.39370078740157483" right="7.874015748031496E-2" top="0.39370078740157483" bottom="0.39370078740157483" header="0.31496062992125984" footer="0.31496062992125984"/>
  <pageSetup paperSize="9" scale="92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0.59999389629810485"/>
    <pageSetUpPr fitToPage="1"/>
  </sheetPr>
  <dimension ref="A1:R84"/>
  <sheetViews>
    <sheetView showGridLines="0" showZeros="0" zoomScaleNormal="100" workbookViewId="0">
      <selection activeCell="C1" sqref="C1"/>
    </sheetView>
  </sheetViews>
  <sheetFormatPr baseColWidth="10" defaultColWidth="11.453125" defaultRowHeight="13" x14ac:dyDescent="0.3"/>
  <cols>
    <col min="1" max="1" width="2.453125" style="189" bestFit="1" customWidth="1"/>
    <col min="2" max="2" width="3.26953125" style="190" customWidth="1"/>
    <col min="3" max="3" width="12" style="190" customWidth="1"/>
    <col min="4" max="4" width="7.453125" style="190" customWidth="1"/>
    <col min="5" max="5" width="1.81640625" style="190" customWidth="1"/>
    <col min="6" max="6" width="10.26953125" style="190" customWidth="1"/>
    <col min="7" max="7" width="1.7265625" style="190" customWidth="1"/>
    <col min="8" max="9" width="5.7265625" style="190" customWidth="1"/>
    <col min="10" max="11" width="6.26953125" style="190" customWidth="1"/>
    <col min="12" max="12" width="4" style="190" customWidth="1"/>
    <col min="13" max="13" width="2.1796875" style="190" bestFit="1" customWidth="1"/>
    <col min="14" max="14" width="2.7265625" style="190" customWidth="1"/>
    <col min="15" max="15" width="14.7265625" style="190" customWidth="1"/>
    <col min="16" max="16" width="2.7265625" style="190" customWidth="1"/>
    <col min="17" max="17" width="1.7265625" style="190" customWidth="1"/>
    <col min="18" max="18" width="14.1796875" style="190" customWidth="1"/>
    <col min="19" max="16384" width="11.453125" style="190"/>
  </cols>
  <sheetData>
    <row r="1" spans="1:18" ht="17" x14ac:dyDescent="0.5">
      <c r="A1" s="195" t="s">
        <v>215</v>
      </c>
      <c r="B1" s="395" t="s">
        <v>216</v>
      </c>
      <c r="C1" s="214" t="s">
        <v>217</v>
      </c>
    </row>
    <row r="2" spans="1:18" ht="3" customHeight="1" x14ac:dyDescent="0.5">
      <c r="A2" s="195"/>
      <c r="C2" s="214"/>
    </row>
    <row r="3" spans="1:18" ht="17" x14ac:dyDescent="0.5">
      <c r="A3" s="195" t="s">
        <v>218</v>
      </c>
      <c r="B3" s="396"/>
      <c r="C3" s="214" t="s">
        <v>219</v>
      </c>
    </row>
    <row r="4" spans="1:18" ht="9" customHeight="1" x14ac:dyDescent="0.3">
      <c r="A4" s="195"/>
      <c r="C4" s="199"/>
    </row>
    <row r="5" spans="1:18" ht="13.5" customHeight="1" x14ac:dyDescent="0.3">
      <c r="A5" s="195" t="s">
        <v>220</v>
      </c>
      <c r="B5" s="557" t="str">
        <f>IF('PA 2'!$F$6="","",'PA 2'!$F$6)</f>
        <v/>
      </c>
      <c r="C5" s="557"/>
      <c r="D5" s="557"/>
      <c r="E5" s="557"/>
      <c r="F5" s="557"/>
      <c r="G5" s="375"/>
      <c r="H5" s="558" cm="1">
        <f t="array" ref="H5">'PA 2'!F7:F7</f>
        <v>0</v>
      </c>
      <c r="I5" s="558"/>
      <c r="J5" s="558"/>
      <c r="K5" s="558"/>
      <c r="M5" s="200" t="s">
        <v>221</v>
      </c>
      <c r="N5" s="396"/>
      <c r="O5" s="560" t="s">
        <v>222</v>
      </c>
      <c r="P5" s="560"/>
      <c r="Q5" s="560"/>
      <c r="R5" s="560"/>
    </row>
    <row r="6" spans="1:18" x14ac:dyDescent="0.3">
      <c r="A6" s="195"/>
      <c r="B6" s="194" t="s">
        <v>223</v>
      </c>
      <c r="C6" s="205"/>
      <c r="D6" s="194"/>
      <c r="E6" s="205"/>
      <c r="H6" s="194" t="s">
        <v>224</v>
      </c>
      <c r="M6" s="200"/>
      <c r="O6" s="560"/>
      <c r="P6" s="560"/>
      <c r="Q6" s="560"/>
      <c r="R6" s="560"/>
    </row>
    <row r="7" spans="1:18" ht="13.5" customHeight="1" x14ac:dyDescent="0.3">
      <c r="A7" s="195" t="s">
        <v>225</v>
      </c>
      <c r="B7" s="559">
        <f>'PA 2'!A21</f>
        <v>46387</v>
      </c>
      <c r="C7" s="559"/>
      <c r="E7" s="195" t="s">
        <v>226</v>
      </c>
      <c r="F7" s="397">
        <f>IF('PA 2'!$Q$37=0,0,IF('PA 2'!$C$14&lt;'PA 2'!$C$21,'PA 2'!$C$21,'PA 2'!$C$14))</f>
        <v>0</v>
      </c>
      <c r="G7" s="397"/>
      <c r="H7" s="1"/>
      <c r="I7" s="558">
        <f>IF('PA 2'!$Q$37=0,0,IF('PA 2'!$C$15&gt;0,'PA 2'!$C$15,B7))</f>
        <v>0</v>
      </c>
      <c r="J7" s="558"/>
      <c r="M7" s="200" t="s">
        <v>227</v>
      </c>
      <c r="N7" s="396"/>
      <c r="O7" s="560" t="s">
        <v>228</v>
      </c>
      <c r="P7" s="560"/>
      <c r="Q7" s="560"/>
      <c r="R7" s="560"/>
    </row>
    <row r="8" spans="1:18" x14ac:dyDescent="0.3">
      <c r="A8" s="195"/>
      <c r="B8" s="194" t="s">
        <v>229</v>
      </c>
      <c r="C8" s="194"/>
      <c r="D8" s="194"/>
      <c r="E8" s="194"/>
      <c r="F8" s="194" t="s">
        <v>230</v>
      </c>
      <c r="G8" s="194"/>
      <c r="H8" s="194"/>
      <c r="I8" s="194" t="s">
        <v>231</v>
      </c>
      <c r="M8" s="200"/>
      <c r="O8" s="560"/>
      <c r="P8" s="560"/>
      <c r="Q8" s="560"/>
      <c r="R8" s="560"/>
    </row>
    <row r="9" spans="1:18" x14ac:dyDescent="0.3">
      <c r="A9" s="195" t="s">
        <v>232</v>
      </c>
    </row>
    <row r="10" spans="1:18" x14ac:dyDescent="0.3">
      <c r="A10" s="195"/>
    </row>
    <row r="11" spans="1:18" x14ac:dyDescent="0.3">
      <c r="A11" s="195"/>
      <c r="L11" s="1" t="str">
        <f>CONCATENATE('PA 2'!C6:C6," ",'PA 2'!C7:C7)</f>
        <v xml:space="preserve"> </v>
      </c>
    </row>
    <row r="12" spans="1:18" x14ac:dyDescent="0.3">
      <c r="A12" s="195"/>
      <c r="L12" s="1">
        <f>'PA 2'!C8:C8</f>
        <v>0</v>
      </c>
    </row>
    <row r="13" spans="1:18" x14ac:dyDescent="0.3">
      <c r="A13" s="195"/>
      <c r="L13" s="1">
        <f>'PA 2'!C9:C9</f>
        <v>0</v>
      </c>
    </row>
    <row r="14" spans="1:18" x14ac:dyDescent="0.3">
      <c r="A14" s="195"/>
    </row>
    <row r="15" spans="1:18" x14ac:dyDescent="0.3">
      <c r="A15" s="195"/>
    </row>
    <row r="16" spans="1:18" x14ac:dyDescent="0.3">
      <c r="A16" s="195"/>
    </row>
    <row r="17" spans="1:18" x14ac:dyDescent="0.3">
      <c r="A17" s="195"/>
    </row>
    <row r="18" spans="1:18" ht="13.5" customHeight="1" x14ac:dyDescent="0.3">
      <c r="A18" s="195"/>
      <c r="R18" s="561" t="s">
        <v>233</v>
      </c>
    </row>
    <row r="19" spans="1:18" x14ac:dyDescent="0.3">
      <c r="A19" s="195">
        <v>1</v>
      </c>
      <c r="B19" s="189" t="s">
        <v>234</v>
      </c>
      <c r="C19" s="189"/>
      <c r="D19" s="189" t="s">
        <v>235</v>
      </c>
      <c r="E19" s="189"/>
      <c r="F19" s="189"/>
      <c r="G19" s="189"/>
      <c r="H19" s="189"/>
      <c r="I19" s="189"/>
      <c r="J19" s="193" t="s">
        <v>236</v>
      </c>
      <c r="K19" s="193"/>
      <c r="L19" s="189"/>
      <c r="M19" s="189"/>
      <c r="N19" s="189"/>
      <c r="Q19" s="213"/>
      <c r="R19" s="561"/>
    </row>
    <row r="20" spans="1:18" x14ac:dyDescent="0.3">
      <c r="A20" s="195"/>
      <c r="B20" s="189" t="s">
        <v>237</v>
      </c>
      <c r="C20" s="189"/>
      <c r="D20" s="189" t="s">
        <v>238</v>
      </c>
      <c r="E20" s="189"/>
      <c r="F20" s="189"/>
      <c r="G20" s="189"/>
      <c r="H20" s="189"/>
      <c r="I20" s="189"/>
      <c r="J20" s="193" t="s">
        <v>236</v>
      </c>
      <c r="K20" s="193"/>
      <c r="L20" s="189"/>
      <c r="M20" s="189"/>
      <c r="N20" s="189"/>
      <c r="Q20" s="213"/>
      <c r="R20" s="561"/>
    </row>
    <row r="21" spans="1:18" x14ac:dyDescent="0.3">
      <c r="A21" s="195"/>
      <c r="B21" s="201" t="s">
        <v>239</v>
      </c>
      <c r="C21" s="201"/>
      <c r="D21" s="201" t="s">
        <v>240</v>
      </c>
      <c r="E21" s="201"/>
      <c r="F21" s="201"/>
      <c r="G21" s="201"/>
      <c r="H21" s="201"/>
      <c r="I21" s="201"/>
      <c r="J21" s="202" t="s">
        <v>241</v>
      </c>
      <c r="K21" s="202"/>
      <c r="L21" s="201"/>
      <c r="M21" s="201"/>
      <c r="N21" s="201"/>
      <c r="O21" s="203"/>
      <c r="P21" s="203"/>
      <c r="R21" s="398">
        <f>'PA 2'!Q37-'PA 2'!Q31</f>
        <v>0</v>
      </c>
    </row>
    <row r="22" spans="1:18" ht="3" customHeight="1" x14ac:dyDescent="0.3">
      <c r="A22" s="195"/>
      <c r="B22" s="189"/>
      <c r="C22" s="189"/>
      <c r="D22" s="189"/>
      <c r="E22" s="189"/>
      <c r="F22" s="206"/>
      <c r="G22" s="206"/>
      <c r="H22" s="206"/>
      <c r="I22" s="206"/>
      <c r="J22" s="207"/>
      <c r="K22" s="207"/>
      <c r="L22" s="206"/>
      <c r="M22" s="206"/>
      <c r="N22" s="206"/>
      <c r="O22" s="208"/>
      <c r="P22" s="208"/>
      <c r="R22" s="215"/>
    </row>
    <row r="23" spans="1:18" x14ac:dyDescent="0.3">
      <c r="A23" s="195">
        <v>2</v>
      </c>
      <c r="B23" s="189" t="s">
        <v>242</v>
      </c>
      <c r="C23" s="189"/>
      <c r="D23" s="189"/>
      <c r="E23" s="189"/>
      <c r="F23" s="201" t="s">
        <v>243</v>
      </c>
      <c r="G23" s="201"/>
      <c r="H23" s="201"/>
      <c r="I23" s="203"/>
      <c r="J23" s="201"/>
      <c r="K23" s="201"/>
      <c r="L23" s="201"/>
      <c r="M23" s="201"/>
      <c r="N23" s="201"/>
      <c r="O23" s="203"/>
      <c r="P23" s="203"/>
      <c r="Q23" s="192" t="s">
        <v>244</v>
      </c>
      <c r="R23" s="399">
        <f>'PA 2'!Q31</f>
        <v>0</v>
      </c>
    </row>
    <row r="24" spans="1:18" ht="3" customHeight="1" x14ac:dyDescent="0.3">
      <c r="A24" s="195"/>
      <c r="B24" s="189"/>
      <c r="C24" s="189"/>
      <c r="D24" s="189"/>
      <c r="E24" s="189"/>
      <c r="F24" s="206"/>
      <c r="G24" s="206"/>
      <c r="H24" s="206"/>
      <c r="I24" s="208"/>
      <c r="J24" s="206"/>
      <c r="K24" s="206"/>
      <c r="L24" s="206"/>
      <c r="M24" s="206"/>
      <c r="N24" s="206"/>
      <c r="O24" s="208"/>
      <c r="P24" s="208"/>
      <c r="Q24" s="192"/>
      <c r="R24" s="215"/>
    </row>
    <row r="25" spans="1:18" x14ac:dyDescent="0.3">
      <c r="A25" s="195"/>
      <c r="B25" s="189" t="s">
        <v>245</v>
      </c>
      <c r="C25" s="189"/>
      <c r="D25" s="189"/>
      <c r="E25" s="189"/>
      <c r="F25" s="201" t="s">
        <v>246</v>
      </c>
      <c r="G25" s="201"/>
      <c r="H25" s="201"/>
      <c r="I25" s="201"/>
      <c r="J25" s="201"/>
      <c r="K25" s="201"/>
      <c r="L25" s="201"/>
      <c r="M25" s="201"/>
      <c r="N25" s="201"/>
      <c r="O25" s="203"/>
      <c r="P25" s="203"/>
      <c r="Q25" s="192" t="s">
        <v>244</v>
      </c>
      <c r="R25" s="399"/>
    </row>
    <row r="26" spans="1:18" ht="3" customHeight="1" x14ac:dyDescent="0.3">
      <c r="A26" s="195"/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Q26" s="192"/>
      <c r="R26" s="216"/>
    </row>
    <row r="27" spans="1:18" x14ac:dyDescent="0.3">
      <c r="A27" s="195"/>
      <c r="B27" s="189" t="s">
        <v>247</v>
      </c>
      <c r="C27" s="189"/>
      <c r="D27" s="189"/>
      <c r="E27" s="189"/>
      <c r="F27" s="189" t="s">
        <v>248</v>
      </c>
      <c r="G27" s="189"/>
      <c r="H27" s="189"/>
      <c r="I27" s="189"/>
      <c r="J27" s="553"/>
      <c r="K27" s="553"/>
      <c r="L27" s="553"/>
      <c r="M27" s="553"/>
      <c r="N27" s="553"/>
      <c r="O27" s="553"/>
      <c r="P27" s="553"/>
      <c r="Q27" s="192" t="s">
        <v>244</v>
      </c>
      <c r="R27" s="399"/>
    </row>
    <row r="28" spans="1:18" ht="9.75" customHeight="1" x14ac:dyDescent="0.3">
      <c r="A28" s="195"/>
      <c r="B28" s="189"/>
      <c r="C28" s="189"/>
      <c r="D28" s="189"/>
      <c r="E28" s="189"/>
      <c r="F28" s="191" t="s">
        <v>249</v>
      </c>
      <c r="G28" s="191"/>
      <c r="H28" s="191"/>
      <c r="I28" s="189"/>
      <c r="J28" s="189"/>
      <c r="K28" s="189"/>
      <c r="L28" s="189"/>
      <c r="M28" s="189"/>
      <c r="N28" s="189"/>
      <c r="R28" s="217"/>
    </row>
    <row r="29" spans="1:18" x14ac:dyDescent="0.3">
      <c r="A29" s="195">
        <v>3</v>
      </c>
      <c r="B29" s="189" t="s">
        <v>250</v>
      </c>
      <c r="C29" s="189"/>
      <c r="D29" s="189"/>
      <c r="E29" s="189"/>
      <c r="F29" s="189"/>
      <c r="G29" s="189"/>
      <c r="H29" s="189"/>
      <c r="I29" s="189"/>
      <c r="J29" s="189"/>
      <c r="K29" s="191" t="s">
        <v>249</v>
      </c>
      <c r="M29" s="189"/>
      <c r="N29" s="189"/>
      <c r="Q29" s="192" t="s">
        <v>244</v>
      </c>
      <c r="R29" s="217"/>
    </row>
    <row r="30" spans="1:18" x14ac:dyDescent="0.3">
      <c r="A30" s="195"/>
      <c r="B30" s="553"/>
      <c r="C30" s="553"/>
      <c r="D30" s="553"/>
      <c r="E30" s="553"/>
      <c r="F30" s="553"/>
      <c r="G30" s="553"/>
      <c r="H30" s="553"/>
      <c r="I30" s="553"/>
      <c r="J30" s="553"/>
      <c r="K30" s="553"/>
      <c r="L30" s="553"/>
      <c r="M30" s="553"/>
      <c r="N30" s="553"/>
      <c r="O30" s="553"/>
      <c r="P30" s="553"/>
      <c r="R30" s="399"/>
    </row>
    <row r="31" spans="1:18" ht="3" customHeight="1" x14ac:dyDescent="0.3">
      <c r="A31" s="195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R31" s="215"/>
    </row>
    <row r="32" spans="1:18" x14ac:dyDescent="0.3">
      <c r="A32" s="195">
        <v>4</v>
      </c>
      <c r="B32" s="189" t="s">
        <v>251</v>
      </c>
      <c r="C32" s="189"/>
      <c r="D32" s="189"/>
      <c r="E32" s="189"/>
      <c r="F32" s="189"/>
      <c r="G32" s="189"/>
      <c r="H32" s="189"/>
      <c r="I32" s="553"/>
      <c r="J32" s="553"/>
      <c r="K32" s="553"/>
      <c r="L32" s="553"/>
      <c r="M32" s="553"/>
      <c r="N32" s="553"/>
      <c r="O32" s="553"/>
      <c r="P32" s="553"/>
      <c r="Q32" s="192" t="s">
        <v>244</v>
      </c>
      <c r="R32" s="399"/>
    </row>
    <row r="33" spans="1:18" ht="9" customHeight="1" x14ac:dyDescent="0.3">
      <c r="A33" s="195"/>
      <c r="B33" s="191" t="s">
        <v>249</v>
      </c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R33" s="217"/>
    </row>
    <row r="34" spans="1:18" x14ac:dyDescent="0.3">
      <c r="A34" s="195">
        <v>5</v>
      </c>
      <c r="B34" s="201" t="s">
        <v>252</v>
      </c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3"/>
      <c r="P34" s="203"/>
      <c r="Q34" s="192" t="s">
        <v>244</v>
      </c>
      <c r="R34" s="399"/>
    </row>
    <row r="35" spans="1:18" ht="3" customHeight="1" x14ac:dyDescent="0.3">
      <c r="A35" s="195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Q35" s="192"/>
      <c r="R35" s="216"/>
    </row>
    <row r="36" spans="1:18" x14ac:dyDescent="0.3">
      <c r="A36" s="195">
        <v>6</v>
      </c>
      <c r="B36" s="201" t="s">
        <v>253</v>
      </c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3"/>
      <c r="P36" s="203"/>
      <c r="Q36" s="192" t="s">
        <v>244</v>
      </c>
      <c r="R36" s="399"/>
    </row>
    <row r="37" spans="1:18" ht="3" customHeight="1" x14ac:dyDescent="0.3">
      <c r="A37" s="195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Q37" s="192"/>
      <c r="R37" s="216"/>
    </row>
    <row r="38" spans="1:18" x14ac:dyDescent="0.3">
      <c r="A38" s="195">
        <v>7</v>
      </c>
      <c r="B38" s="189" t="s">
        <v>254</v>
      </c>
      <c r="C38" s="189"/>
      <c r="D38" s="189"/>
      <c r="E38" s="189"/>
      <c r="F38" s="189"/>
      <c r="G38" s="189"/>
      <c r="H38" s="189"/>
      <c r="I38" s="553"/>
      <c r="J38" s="553"/>
      <c r="K38" s="553"/>
      <c r="L38" s="553"/>
      <c r="M38" s="553"/>
      <c r="N38" s="553"/>
      <c r="O38" s="553"/>
      <c r="P38" s="553"/>
      <c r="Q38" s="192" t="s">
        <v>244</v>
      </c>
      <c r="R38" s="399"/>
    </row>
    <row r="39" spans="1:18" ht="9" customHeight="1" x14ac:dyDescent="0.3">
      <c r="A39" s="195"/>
      <c r="B39" s="191" t="s">
        <v>249</v>
      </c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R39" s="217"/>
    </row>
    <row r="40" spans="1:18" x14ac:dyDescent="0.3">
      <c r="A40" s="195">
        <v>8</v>
      </c>
      <c r="B40" s="201" t="s">
        <v>255</v>
      </c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3"/>
      <c r="P40" s="203"/>
      <c r="Q40" s="192" t="s">
        <v>256</v>
      </c>
      <c r="R40" s="399">
        <f>SUM(R21:R39)</f>
        <v>0</v>
      </c>
    </row>
    <row r="41" spans="1:18" ht="3" customHeight="1" x14ac:dyDescent="0.3">
      <c r="A41" s="195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Q41" s="192"/>
      <c r="R41" s="216"/>
    </row>
    <row r="42" spans="1:18" x14ac:dyDescent="0.3">
      <c r="A42" s="195">
        <v>9</v>
      </c>
      <c r="B42" s="201" t="s">
        <v>257</v>
      </c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3"/>
      <c r="P42" s="203"/>
      <c r="Q42" s="192" t="s">
        <v>44</v>
      </c>
      <c r="R42" s="399">
        <f>('PA 2'!Q40+'PA 2'!Q41+'PA 2'!Q42)*-1</f>
        <v>0</v>
      </c>
    </row>
    <row r="43" spans="1:18" ht="3" customHeight="1" x14ac:dyDescent="0.3">
      <c r="A43" s="195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Q43" s="192"/>
      <c r="R43" s="216"/>
    </row>
    <row r="44" spans="1:18" x14ac:dyDescent="0.3">
      <c r="A44" s="195">
        <v>10</v>
      </c>
      <c r="B44" s="189" t="s">
        <v>258</v>
      </c>
      <c r="C44" s="189"/>
      <c r="D44" s="189"/>
      <c r="E44" s="189" t="s">
        <v>259</v>
      </c>
      <c r="F44" s="189"/>
      <c r="G44" s="189"/>
      <c r="H44" s="201" t="s">
        <v>260</v>
      </c>
      <c r="I44" s="203"/>
      <c r="J44" s="201"/>
      <c r="K44" s="201"/>
      <c r="L44" s="201"/>
      <c r="M44" s="201"/>
      <c r="N44" s="201"/>
      <c r="O44" s="203"/>
      <c r="P44" s="203"/>
      <c r="Q44" s="192" t="s">
        <v>44</v>
      </c>
      <c r="R44" s="399">
        <f>'PA 2'!Q44*-1</f>
        <v>0</v>
      </c>
    </row>
    <row r="45" spans="1:18" x14ac:dyDescent="0.3">
      <c r="A45" s="195"/>
      <c r="B45" s="189" t="s">
        <v>261</v>
      </c>
      <c r="C45" s="189"/>
      <c r="D45" s="189"/>
      <c r="E45" s="189" t="s">
        <v>262</v>
      </c>
      <c r="F45" s="189"/>
      <c r="G45" s="189"/>
      <c r="H45" s="189"/>
      <c r="J45" s="189"/>
      <c r="K45" s="189"/>
      <c r="L45" s="189"/>
      <c r="M45" s="189"/>
      <c r="N45" s="189"/>
      <c r="R45" s="217"/>
    </row>
    <row r="46" spans="1:18" x14ac:dyDescent="0.3">
      <c r="A46" s="195"/>
      <c r="B46" s="189" t="s">
        <v>263</v>
      </c>
      <c r="C46" s="189"/>
      <c r="E46" s="189" t="s">
        <v>264</v>
      </c>
      <c r="H46" s="201" t="s">
        <v>265</v>
      </c>
      <c r="I46" s="203"/>
      <c r="J46" s="203"/>
      <c r="K46" s="203"/>
      <c r="L46" s="203"/>
      <c r="M46" s="203"/>
      <c r="N46" s="203"/>
      <c r="O46" s="203"/>
      <c r="P46" s="203"/>
      <c r="Q46" s="192" t="s">
        <v>44</v>
      </c>
      <c r="R46" s="399"/>
    </row>
    <row r="47" spans="1:18" ht="3" customHeight="1" x14ac:dyDescent="0.3">
      <c r="A47" s="195"/>
      <c r="B47" s="189"/>
      <c r="C47" s="189"/>
      <c r="E47" s="189"/>
      <c r="H47" s="189"/>
      <c r="Q47" s="192"/>
      <c r="R47" s="216"/>
    </row>
    <row r="48" spans="1:18" x14ac:dyDescent="0.3">
      <c r="A48" s="195">
        <v>11</v>
      </c>
      <c r="B48" s="204" t="s">
        <v>266</v>
      </c>
      <c r="C48" s="201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3"/>
      <c r="O48" s="203"/>
      <c r="P48" s="203"/>
      <c r="Q48" s="192" t="s">
        <v>256</v>
      </c>
      <c r="R48" s="399">
        <f>R40-SUM(R42:R46)</f>
        <v>0</v>
      </c>
    </row>
    <row r="49" spans="1:18" ht="9" customHeight="1" x14ac:dyDescent="0.3">
      <c r="A49" s="195"/>
      <c r="B49" s="196" t="s">
        <v>267</v>
      </c>
      <c r="C49" s="189"/>
      <c r="R49" s="217"/>
    </row>
    <row r="50" spans="1:18" x14ac:dyDescent="0.3">
      <c r="A50" s="195">
        <v>12</v>
      </c>
      <c r="B50" s="201" t="s">
        <v>268</v>
      </c>
      <c r="C50" s="201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R50" s="399">
        <f>'PA 2'!Q46*-1</f>
        <v>0</v>
      </c>
    </row>
    <row r="51" spans="1:18" x14ac:dyDescent="0.3">
      <c r="A51" s="195">
        <v>13</v>
      </c>
      <c r="B51" s="189" t="s">
        <v>269</v>
      </c>
      <c r="C51" s="189"/>
      <c r="R51" s="218"/>
    </row>
    <row r="52" spans="1:18" ht="9" customHeight="1" x14ac:dyDescent="0.3">
      <c r="B52" s="191" t="s">
        <v>270</v>
      </c>
      <c r="R52" s="218"/>
    </row>
    <row r="53" spans="1:18" ht="13.5" customHeight="1" x14ac:dyDescent="0.3">
      <c r="A53" s="562">
        <v>13.1</v>
      </c>
      <c r="B53" s="562"/>
      <c r="C53" s="564" t="s">
        <v>271</v>
      </c>
      <c r="D53" s="197" t="s">
        <v>272</v>
      </c>
      <c r="E53" s="201" t="s">
        <v>273</v>
      </c>
      <c r="F53" s="201"/>
      <c r="G53" s="201"/>
      <c r="H53" s="201"/>
      <c r="I53" s="203"/>
      <c r="J53" s="203"/>
      <c r="K53" s="203"/>
      <c r="L53" s="203"/>
      <c r="M53" s="203"/>
      <c r="N53" s="203"/>
      <c r="O53" s="203"/>
      <c r="P53" s="395" t="s">
        <v>216</v>
      </c>
      <c r="R53" s="401"/>
    </row>
    <row r="54" spans="1:18" ht="3" customHeight="1" x14ac:dyDescent="0.3">
      <c r="A54" s="210"/>
      <c r="B54" s="210"/>
      <c r="C54" s="564"/>
      <c r="D54" s="197"/>
      <c r="E54" s="189"/>
      <c r="F54" s="189"/>
      <c r="G54" s="189"/>
      <c r="H54" s="189"/>
      <c r="R54" s="219"/>
    </row>
    <row r="55" spans="1:18" x14ac:dyDescent="0.3">
      <c r="A55" s="195"/>
      <c r="B55" s="195"/>
      <c r="C55" s="564"/>
      <c r="D55" s="198" t="s">
        <v>274</v>
      </c>
      <c r="E55" s="189" t="s">
        <v>275</v>
      </c>
      <c r="F55" s="189"/>
      <c r="G55" s="189"/>
      <c r="H55" s="189"/>
      <c r="I55" s="554"/>
      <c r="J55" s="554"/>
      <c r="K55" s="554"/>
      <c r="L55" s="554"/>
      <c r="M55" s="554"/>
      <c r="N55" s="554"/>
      <c r="O55" s="554"/>
      <c r="P55" s="554"/>
      <c r="R55" s="401"/>
    </row>
    <row r="56" spans="1:18" ht="9" customHeight="1" x14ac:dyDescent="0.3">
      <c r="A56" s="195"/>
      <c r="B56" s="195"/>
      <c r="C56" s="564"/>
      <c r="D56" s="199"/>
      <c r="E56" s="194" t="s">
        <v>249</v>
      </c>
      <c r="R56" s="218"/>
    </row>
    <row r="57" spans="1:18" x14ac:dyDescent="0.3">
      <c r="A57" s="563">
        <v>13.2</v>
      </c>
      <c r="B57" s="563"/>
      <c r="C57" s="189" t="s">
        <v>276</v>
      </c>
      <c r="D57" s="198" t="s">
        <v>277</v>
      </c>
      <c r="E57" s="201" t="s">
        <v>278</v>
      </c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R57" s="401"/>
    </row>
    <row r="58" spans="1:18" ht="3" customHeight="1" x14ac:dyDescent="0.3">
      <c r="A58" s="211"/>
      <c r="B58" s="211"/>
      <c r="C58" s="189"/>
      <c r="D58" s="198"/>
      <c r="E58" s="189"/>
      <c r="R58" s="220"/>
    </row>
    <row r="59" spans="1:18" x14ac:dyDescent="0.3">
      <c r="A59" s="195"/>
      <c r="B59" s="195"/>
      <c r="C59" s="189" t="s">
        <v>279</v>
      </c>
      <c r="D59" s="198" t="s">
        <v>280</v>
      </c>
      <c r="E59" s="201" t="s">
        <v>281</v>
      </c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R59" s="401"/>
    </row>
    <row r="60" spans="1:18" ht="3" customHeight="1" x14ac:dyDescent="0.3">
      <c r="A60" s="195"/>
      <c r="B60" s="195"/>
      <c r="C60" s="189"/>
      <c r="D60" s="198"/>
      <c r="E60" s="189"/>
      <c r="I60" s="208"/>
      <c r="J60" s="208"/>
      <c r="K60" s="208"/>
      <c r="L60" s="208"/>
      <c r="M60" s="208"/>
      <c r="N60" s="208"/>
      <c r="O60" s="208"/>
      <c r="P60" s="208"/>
      <c r="R60" s="220"/>
    </row>
    <row r="61" spans="1:18" x14ac:dyDescent="0.3">
      <c r="A61" s="195"/>
      <c r="B61" s="195"/>
      <c r="C61" s="189" t="s">
        <v>282</v>
      </c>
      <c r="D61" s="198" t="s">
        <v>283</v>
      </c>
      <c r="E61" s="189" t="s">
        <v>275</v>
      </c>
      <c r="I61" s="554"/>
      <c r="J61" s="554"/>
      <c r="K61" s="554"/>
      <c r="L61" s="554"/>
      <c r="M61" s="554"/>
      <c r="N61" s="554"/>
      <c r="O61" s="554"/>
      <c r="P61" s="554"/>
      <c r="R61" s="401"/>
    </row>
    <row r="62" spans="1:18" ht="9" customHeight="1" x14ac:dyDescent="0.3">
      <c r="B62" s="189"/>
      <c r="C62" s="189"/>
      <c r="E62" s="194" t="s">
        <v>249</v>
      </c>
      <c r="R62" s="218"/>
    </row>
    <row r="63" spans="1:18" x14ac:dyDescent="0.3">
      <c r="A63" s="562">
        <v>13.3</v>
      </c>
      <c r="B63" s="562"/>
      <c r="C63" s="201" t="s">
        <v>284</v>
      </c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R63" s="401"/>
    </row>
    <row r="64" spans="1:18" ht="3" customHeight="1" x14ac:dyDescent="0.3">
      <c r="A64" s="210"/>
      <c r="B64" s="210"/>
      <c r="C64" s="189"/>
    </row>
    <row r="65" spans="1:18" x14ac:dyDescent="0.3">
      <c r="A65" s="195">
        <v>14</v>
      </c>
      <c r="B65" s="189" t="s">
        <v>285</v>
      </c>
      <c r="C65" s="189"/>
      <c r="F65" s="189" t="s">
        <v>286</v>
      </c>
      <c r="G65" s="189"/>
      <c r="H65" s="189"/>
      <c r="I65" s="554"/>
      <c r="J65" s="554"/>
      <c r="K65" s="554"/>
      <c r="L65" s="554"/>
      <c r="M65" s="554"/>
      <c r="N65" s="554"/>
      <c r="O65" s="554"/>
      <c r="P65" s="554"/>
      <c r="Q65" s="554"/>
      <c r="R65" s="554"/>
    </row>
    <row r="66" spans="1:18" ht="3" customHeight="1" x14ac:dyDescent="0.3">
      <c r="A66" s="195"/>
      <c r="B66" s="189"/>
      <c r="C66" s="189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2"/>
      <c r="O66" s="212"/>
      <c r="P66" s="212"/>
      <c r="Q66" s="212"/>
      <c r="R66" s="212"/>
    </row>
    <row r="67" spans="1:18" x14ac:dyDescent="0.3">
      <c r="A67" s="195"/>
      <c r="B67" s="189" t="s">
        <v>287</v>
      </c>
      <c r="C67" s="189"/>
      <c r="F67" s="189" t="s">
        <v>288</v>
      </c>
      <c r="G67" s="189"/>
      <c r="H67" s="189"/>
      <c r="I67" s="554"/>
      <c r="J67" s="554"/>
      <c r="K67" s="554"/>
      <c r="L67" s="554"/>
      <c r="M67" s="554"/>
      <c r="N67" s="554"/>
      <c r="O67" s="554"/>
      <c r="P67" s="554"/>
      <c r="Q67" s="554"/>
      <c r="R67" s="554"/>
    </row>
    <row r="68" spans="1:18" ht="3" customHeight="1" x14ac:dyDescent="0.3">
      <c r="A68" s="195"/>
      <c r="B68" s="189"/>
      <c r="C68" s="189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2"/>
      <c r="Q68" s="212"/>
      <c r="R68" s="212"/>
    </row>
    <row r="69" spans="1:18" x14ac:dyDescent="0.3">
      <c r="A69" s="195"/>
      <c r="B69" s="189" t="s">
        <v>289</v>
      </c>
      <c r="C69" s="189"/>
      <c r="F69" s="189" t="s">
        <v>290</v>
      </c>
      <c r="G69" s="189"/>
      <c r="H69" s="189"/>
      <c r="I69" s="554"/>
      <c r="J69" s="554"/>
      <c r="K69" s="554"/>
      <c r="L69" s="554"/>
      <c r="M69" s="554"/>
      <c r="N69" s="554"/>
      <c r="O69" s="554"/>
      <c r="P69" s="554"/>
      <c r="Q69" s="554"/>
      <c r="R69" s="554"/>
    </row>
    <row r="70" spans="1:18" ht="3" customHeight="1" x14ac:dyDescent="0.3">
      <c r="A70" s="195"/>
      <c r="B70" s="189"/>
      <c r="C70" s="189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2"/>
      <c r="O70" s="212"/>
      <c r="P70" s="212"/>
      <c r="Q70" s="212"/>
      <c r="R70" s="212"/>
    </row>
    <row r="71" spans="1:18" x14ac:dyDescent="0.3">
      <c r="A71" s="195">
        <v>15</v>
      </c>
      <c r="B71" s="189" t="s">
        <v>291</v>
      </c>
      <c r="C71" s="189"/>
      <c r="D71" s="556" t="str">
        <f>IF('PA 2'!L7&lt;100%,"Taux d'occupation "&amp;('PA 2'!L7+'PA 2'!L12)*100&amp;"%","")</f>
        <v>Taux d'occupation 0%</v>
      </c>
      <c r="E71" s="556"/>
      <c r="F71" s="556"/>
      <c r="G71" s="556"/>
      <c r="H71" s="556"/>
      <c r="I71" s="556"/>
      <c r="J71" s="556"/>
      <c r="K71" s="556"/>
      <c r="L71" s="556"/>
      <c r="M71" s="556"/>
      <c r="N71" s="556"/>
      <c r="O71" s="556"/>
      <c r="P71" s="556"/>
      <c r="Q71" s="556"/>
      <c r="R71" s="556"/>
    </row>
    <row r="72" spans="1:18" ht="3" customHeight="1" x14ac:dyDescent="0.3">
      <c r="A72" s="195"/>
      <c r="B72" s="189"/>
      <c r="C72" s="189"/>
      <c r="D72" s="223"/>
      <c r="E72" s="223"/>
      <c r="F72" s="223"/>
      <c r="G72" s="223"/>
      <c r="H72" s="223"/>
      <c r="I72" s="223"/>
      <c r="J72" s="223"/>
      <c r="K72" s="223"/>
      <c r="L72" s="223"/>
      <c r="M72" s="223"/>
      <c r="N72" s="223"/>
      <c r="O72" s="223"/>
      <c r="P72" s="223"/>
      <c r="Q72" s="223"/>
      <c r="R72" s="223"/>
    </row>
    <row r="73" spans="1:18" x14ac:dyDescent="0.3">
      <c r="A73" s="195"/>
      <c r="B73" s="189" t="s">
        <v>292</v>
      </c>
      <c r="C73" s="189"/>
      <c r="D73" s="557"/>
      <c r="E73" s="557"/>
      <c r="F73" s="557"/>
      <c r="G73" s="557"/>
      <c r="H73" s="557"/>
      <c r="I73" s="557"/>
      <c r="J73" s="557"/>
      <c r="K73" s="557"/>
      <c r="L73" s="557"/>
      <c r="M73" s="557"/>
      <c r="N73" s="557"/>
      <c r="O73" s="557"/>
      <c r="P73" s="557"/>
      <c r="Q73" s="557"/>
      <c r="R73" s="557"/>
    </row>
    <row r="74" spans="1:18" ht="3" customHeight="1" x14ac:dyDescent="0.3">
      <c r="A74" s="195"/>
      <c r="B74" s="189"/>
      <c r="C74" s="189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</row>
    <row r="75" spans="1:18" x14ac:dyDescent="0.3">
      <c r="A75" s="195"/>
      <c r="B75" s="189" t="s">
        <v>293</v>
      </c>
      <c r="C75" s="189"/>
      <c r="D75" s="557"/>
      <c r="E75" s="557"/>
      <c r="F75" s="557"/>
      <c r="G75" s="557"/>
      <c r="H75" s="557"/>
      <c r="I75" s="557"/>
      <c r="J75" s="557"/>
      <c r="K75" s="557"/>
      <c r="L75" s="557"/>
      <c r="M75" s="557"/>
      <c r="N75" s="557"/>
      <c r="O75" s="557"/>
      <c r="P75" s="557"/>
      <c r="Q75" s="557"/>
      <c r="R75" s="557"/>
    </row>
    <row r="76" spans="1:18" x14ac:dyDescent="0.3">
      <c r="A76" s="195"/>
      <c r="B76" s="189"/>
      <c r="C76" s="189"/>
    </row>
    <row r="77" spans="1:18" x14ac:dyDescent="0.3">
      <c r="A77" s="195" t="s">
        <v>294</v>
      </c>
      <c r="B77" s="189" t="s">
        <v>295</v>
      </c>
      <c r="C77" s="189"/>
      <c r="F77" s="189" t="s">
        <v>296</v>
      </c>
      <c r="G77" s="189"/>
      <c r="M77" s="498">
        <f>'Attestation du salaire (ord.)'!A8:A8</f>
        <v>0</v>
      </c>
      <c r="N77" s="498"/>
      <c r="O77" s="498"/>
      <c r="P77" s="498"/>
      <c r="Q77" s="498"/>
      <c r="R77" s="498"/>
    </row>
    <row r="78" spans="1:18" ht="9" customHeight="1" x14ac:dyDescent="0.3">
      <c r="B78" s="189"/>
      <c r="C78" s="189"/>
      <c r="F78" s="191" t="s">
        <v>297</v>
      </c>
      <c r="G78" s="191"/>
      <c r="M78" s="221"/>
      <c r="N78" s="221"/>
      <c r="O78" s="221"/>
      <c r="P78" s="221"/>
      <c r="Q78" s="221"/>
      <c r="R78" s="221"/>
    </row>
    <row r="79" spans="1:18" x14ac:dyDescent="0.3">
      <c r="B79" s="555"/>
      <c r="C79" s="555"/>
      <c r="D79" s="555"/>
      <c r="F79" s="189" t="s">
        <v>298</v>
      </c>
      <c r="G79" s="189"/>
      <c r="M79" s="498">
        <f>'Attestation du salaire (ord.)'!A9:A9</f>
        <v>0</v>
      </c>
      <c r="N79" s="498"/>
      <c r="O79" s="498"/>
      <c r="P79" s="498"/>
      <c r="Q79" s="498"/>
      <c r="R79" s="498"/>
    </row>
    <row r="80" spans="1:18" ht="9" customHeight="1" x14ac:dyDescent="0.3">
      <c r="B80" s="189"/>
      <c r="C80" s="189"/>
      <c r="F80" s="191" t="s">
        <v>299</v>
      </c>
      <c r="G80" s="191"/>
      <c r="M80" s="221"/>
      <c r="N80" s="221"/>
      <c r="O80" s="221"/>
      <c r="P80" s="221"/>
      <c r="Q80" s="221"/>
      <c r="R80" s="221"/>
    </row>
    <row r="81" spans="2:18" x14ac:dyDescent="0.3">
      <c r="B81" s="189"/>
      <c r="C81" s="189"/>
      <c r="F81" s="189" t="s">
        <v>300</v>
      </c>
      <c r="G81" s="189"/>
      <c r="M81" s="498">
        <f>'Attestation du salaire (ord.)'!A10:A10</f>
        <v>0</v>
      </c>
      <c r="N81" s="498"/>
      <c r="O81" s="498"/>
      <c r="P81" s="498"/>
      <c r="Q81" s="498"/>
      <c r="R81" s="498"/>
    </row>
    <row r="82" spans="2:18" ht="9" customHeight="1" x14ac:dyDescent="0.3">
      <c r="B82" s="189"/>
      <c r="C82" s="189"/>
      <c r="F82" s="191" t="s">
        <v>301</v>
      </c>
      <c r="G82" s="191"/>
      <c r="M82" s="222"/>
      <c r="N82" s="222"/>
      <c r="O82" s="222"/>
      <c r="P82" s="222"/>
      <c r="Q82" s="222"/>
      <c r="R82" s="222"/>
    </row>
    <row r="83" spans="2:18" x14ac:dyDescent="0.3">
      <c r="B83" s="189"/>
      <c r="C83" s="189"/>
      <c r="I83" s="189"/>
      <c r="M83" s="565" t="str">
        <f>'CS 1'!M83:R83</f>
        <v>Entrez le numéro de téléphone ici</v>
      </c>
      <c r="N83" s="565"/>
      <c r="O83" s="565"/>
      <c r="P83" s="565"/>
      <c r="Q83" s="565"/>
      <c r="R83" s="565"/>
    </row>
    <row r="84" spans="2:18" x14ac:dyDescent="0.3">
      <c r="B84" s="189"/>
      <c r="C84" s="189"/>
    </row>
  </sheetData>
  <sheetProtection algorithmName="SHA-512" hashValue="pM5b4YD/HH8/qkbiDNWu9+DXvpyDsHigDeGee+3u6UiTCp26dze1jSqUmjGI5Sjv7ImdzkkREsd2MdAElVeoeA==" saltValue="mUurRKFyPH0Pe5i3NmeIzA==" spinCount="100000" sheet="1" objects="1" scenarios="1"/>
  <mergeCells count="28">
    <mergeCell ref="O5:R6"/>
    <mergeCell ref="B7:C7"/>
    <mergeCell ref="I7:J7"/>
    <mergeCell ref="O7:R8"/>
    <mergeCell ref="H5:K5"/>
    <mergeCell ref="B5:F5"/>
    <mergeCell ref="I69:R69"/>
    <mergeCell ref="R18:R20"/>
    <mergeCell ref="J27:P27"/>
    <mergeCell ref="B30:P30"/>
    <mergeCell ref="I32:P32"/>
    <mergeCell ref="I38:P38"/>
    <mergeCell ref="A53:B53"/>
    <mergeCell ref="C53:C56"/>
    <mergeCell ref="I55:P55"/>
    <mergeCell ref="A57:B57"/>
    <mergeCell ref="I61:P61"/>
    <mergeCell ref="A63:B63"/>
    <mergeCell ref="I65:R65"/>
    <mergeCell ref="I67:R67"/>
    <mergeCell ref="M83:R83"/>
    <mergeCell ref="D71:R71"/>
    <mergeCell ref="D73:R73"/>
    <mergeCell ref="D75:R75"/>
    <mergeCell ref="M77:R77"/>
    <mergeCell ref="M79:R79"/>
    <mergeCell ref="M81:R81"/>
    <mergeCell ref="B79:D79"/>
  </mergeCells>
  <pageMargins left="0.39370078740157483" right="7.874015748031496E-2" top="0.39370078740157483" bottom="0.39370078740157483" header="0.31496062992125984" footer="0.31496062992125984"/>
  <pageSetup paperSize="9" scale="95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8" tint="0.59999389629810485"/>
    <pageSetUpPr fitToPage="1"/>
  </sheetPr>
  <dimension ref="A1:R84"/>
  <sheetViews>
    <sheetView showGridLines="0" showZeros="0" zoomScaleNormal="100" workbookViewId="0">
      <selection activeCell="C1" sqref="C1"/>
    </sheetView>
  </sheetViews>
  <sheetFormatPr baseColWidth="10" defaultColWidth="11.453125" defaultRowHeight="13" x14ac:dyDescent="0.3"/>
  <cols>
    <col min="1" max="1" width="2.453125" style="189" bestFit="1" customWidth="1"/>
    <col min="2" max="2" width="3.26953125" style="190" customWidth="1"/>
    <col min="3" max="3" width="12" style="190" customWidth="1"/>
    <col min="4" max="4" width="7.453125" style="190" customWidth="1"/>
    <col min="5" max="5" width="1.81640625" style="190" customWidth="1"/>
    <col min="6" max="6" width="10.26953125" style="190" customWidth="1"/>
    <col min="7" max="7" width="1.7265625" style="190" customWidth="1"/>
    <col min="8" max="9" width="5.7265625" style="190" customWidth="1"/>
    <col min="10" max="11" width="6.26953125" style="190" customWidth="1"/>
    <col min="12" max="12" width="4" style="190" customWidth="1"/>
    <col min="13" max="13" width="2.1796875" style="190" bestFit="1" customWidth="1"/>
    <col min="14" max="14" width="2.7265625" style="190" customWidth="1"/>
    <col min="15" max="15" width="14.7265625" style="190" customWidth="1"/>
    <col min="16" max="16" width="2.7265625" style="190" customWidth="1"/>
    <col min="17" max="17" width="1.7265625" style="190" customWidth="1"/>
    <col min="18" max="18" width="14.1796875" style="190" customWidth="1"/>
    <col min="19" max="16384" width="11.453125" style="190"/>
  </cols>
  <sheetData>
    <row r="1" spans="1:18" ht="17" x14ac:dyDescent="0.5">
      <c r="A1" s="195" t="s">
        <v>215</v>
      </c>
      <c r="B1" s="395" t="s">
        <v>216</v>
      </c>
      <c r="C1" s="214" t="s">
        <v>217</v>
      </c>
    </row>
    <row r="2" spans="1:18" ht="3" customHeight="1" x14ac:dyDescent="0.5">
      <c r="A2" s="195"/>
      <c r="C2" s="214"/>
    </row>
    <row r="3" spans="1:18" ht="17" x14ac:dyDescent="0.5">
      <c r="A3" s="195" t="s">
        <v>218</v>
      </c>
      <c r="B3" s="396"/>
      <c r="C3" s="214" t="s">
        <v>219</v>
      </c>
    </row>
    <row r="4" spans="1:18" ht="9" customHeight="1" x14ac:dyDescent="0.3">
      <c r="A4" s="195"/>
      <c r="C4" s="199"/>
    </row>
    <row r="5" spans="1:18" ht="13.5" customHeight="1" x14ac:dyDescent="0.3">
      <c r="A5" s="195" t="s">
        <v>220</v>
      </c>
      <c r="B5" s="557" t="str">
        <f>IF('PA 3'!$F$6="","",'PA 3'!$F$6)</f>
        <v/>
      </c>
      <c r="C5" s="557"/>
      <c r="D5" s="557"/>
      <c r="E5" s="557"/>
      <c r="F5" s="557"/>
      <c r="G5" s="375"/>
      <c r="H5" s="558" cm="1">
        <f t="array" ref="H5">'PA 3'!F7:F7</f>
        <v>0</v>
      </c>
      <c r="I5" s="558"/>
      <c r="J5" s="558"/>
      <c r="K5" s="558"/>
      <c r="M5" s="200" t="s">
        <v>221</v>
      </c>
      <c r="N5" s="396"/>
      <c r="O5" s="560" t="s">
        <v>222</v>
      </c>
      <c r="P5" s="560"/>
      <c r="Q5" s="560"/>
      <c r="R5" s="560"/>
    </row>
    <row r="6" spans="1:18" x14ac:dyDescent="0.3">
      <c r="A6" s="195"/>
      <c r="B6" s="194" t="s">
        <v>223</v>
      </c>
      <c r="C6" s="205"/>
      <c r="D6" s="194"/>
      <c r="E6" s="205"/>
      <c r="H6" s="194" t="s">
        <v>224</v>
      </c>
      <c r="M6" s="200"/>
      <c r="O6" s="560"/>
      <c r="P6" s="560"/>
      <c r="Q6" s="560"/>
      <c r="R6" s="560"/>
    </row>
    <row r="7" spans="1:18" ht="13.5" customHeight="1" x14ac:dyDescent="0.3">
      <c r="A7" s="195" t="s">
        <v>225</v>
      </c>
      <c r="B7" s="559">
        <f>'PA 3'!A21</f>
        <v>46387</v>
      </c>
      <c r="C7" s="559"/>
      <c r="E7" s="195" t="s">
        <v>226</v>
      </c>
      <c r="F7" s="397">
        <f>IF('PA 3'!$Q$37=0,0,IF('PA 3'!$C$14&lt;'PA 3'!$C$21,'PA 3'!$C$21,'PA 3'!$C$14))</f>
        <v>0</v>
      </c>
      <c r="G7" s="397"/>
      <c r="H7" s="1"/>
      <c r="I7" s="558">
        <f>IF('PA 3'!$Q$37=0,0,IF('PA 3'!$C$15&gt;0,'PA 3'!$C$15,B7))</f>
        <v>0</v>
      </c>
      <c r="J7" s="558"/>
      <c r="M7" s="200" t="s">
        <v>227</v>
      </c>
      <c r="N7" s="396"/>
      <c r="O7" s="560" t="s">
        <v>228</v>
      </c>
      <c r="P7" s="560"/>
      <c r="Q7" s="560"/>
      <c r="R7" s="560"/>
    </row>
    <row r="8" spans="1:18" x14ac:dyDescent="0.3">
      <c r="A8" s="195"/>
      <c r="B8" s="194" t="s">
        <v>229</v>
      </c>
      <c r="C8" s="194"/>
      <c r="D8" s="194"/>
      <c r="E8" s="194"/>
      <c r="F8" s="194" t="s">
        <v>230</v>
      </c>
      <c r="G8" s="194"/>
      <c r="H8" s="194"/>
      <c r="I8" s="194" t="s">
        <v>231</v>
      </c>
      <c r="M8" s="200"/>
      <c r="O8" s="560"/>
      <c r="P8" s="560"/>
      <c r="Q8" s="560"/>
      <c r="R8" s="560"/>
    </row>
    <row r="9" spans="1:18" x14ac:dyDescent="0.3">
      <c r="A9" s="195" t="s">
        <v>232</v>
      </c>
    </row>
    <row r="10" spans="1:18" x14ac:dyDescent="0.3">
      <c r="A10" s="195"/>
    </row>
    <row r="11" spans="1:18" x14ac:dyDescent="0.3">
      <c r="A11" s="195"/>
      <c r="L11" s="1" t="str">
        <f>CONCATENATE('PA 3'!C6:C6," ",'PA 3'!C7:C7)</f>
        <v xml:space="preserve"> </v>
      </c>
    </row>
    <row r="12" spans="1:18" x14ac:dyDescent="0.3">
      <c r="A12" s="195"/>
      <c r="L12" s="1">
        <f>'PA 3'!C8:C8</f>
        <v>0</v>
      </c>
    </row>
    <row r="13" spans="1:18" x14ac:dyDescent="0.3">
      <c r="A13" s="195"/>
      <c r="L13" s="1">
        <f>'PA 3'!C9:C9</f>
        <v>0</v>
      </c>
    </row>
    <row r="14" spans="1:18" x14ac:dyDescent="0.3">
      <c r="A14" s="195"/>
    </row>
    <row r="15" spans="1:18" x14ac:dyDescent="0.3">
      <c r="A15" s="195"/>
    </row>
    <row r="16" spans="1:18" x14ac:dyDescent="0.3">
      <c r="A16" s="195"/>
    </row>
    <row r="17" spans="1:18" x14ac:dyDescent="0.3">
      <c r="A17" s="195"/>
    </row>
    <row r="18" spans="1:18" ht="13.5" customHeight="1" x14ac:dyDescent="0.3">
      <c r="A18" s="195"/>
      <c r="R18" s="561" t="s">
        <v>233</v>
      </c>
    </row>
    <row r="19" spans="1:18" x14ac:dyDescent="0.3">
      <c r="A19" s="195">
        <v>1</v>
      </c>
      <c r="B19" s="189" t="s">
        <v>234</v>
      </c>
      <c r="C19" s="189"/>
      <c r="D19" s="189" t="s">
        <v>235</v>
      </c>
      <c r="E19" s="189"/>
      <c r="F19" s="189"/>
      <c r="G19" s="189"/>
      <c r="H19" s="189"/>
      <c r="I19" s="189"/>
      <c r="J19" s="193" t="s">
        <v>236</v>
      </c>
      <c r="K19" s="193"/>
      <c r="L19" s="189"/>
      <c r="M19" s="189"/>
      <c r="N19" s="189"/>
      <c r="Q19" s="213"/>
      <c r="R19" s="561"/>
    </row>
    <row r="20" spans="1:18" x14ac:dyDescent="0.3">
      <c r="A20" s="195"/>
      <c r="B20" s="189" t="s">
        <v>237</v>
      </c>
      <c r="C20" s="189"/>
      <c r="D20" s="189" t="s">
        <v>238</v>
      </c>
      <c r="E20" s="189"/>
      <c r="F20" s="189"/>
      <c r="G20" s="189"/>
      <c r="H20" s="189"/>
      <c r="I20" s="189"/>
      <c r="J20" s="193" t="s">
        <v>236</v>
      </c>
      <c r="K20" s="193"/>
      <c r="L20" s="189"/>
      <c r="M20" s="189"/>
      <c r="N20" s="189"/>
      <c r="Q20" s="213"/>
      <c r="R20" s="561"/>
    </row>
    <row r="21" spans="1:18" x14ac:dyDescent="0.3">
      <c r="A21" s="195"/>
      <c r="B21" s="201" t="s">
        <v>239</v>
      </c>
      <c r="C21" s="201"/>
      <c r="D21" s="201" t="s">
        <v>240</v>
      </c>
      <c r="E21" s="201"/>
      <c r="F21" s="201"/>
      <c r="G21" s="201"/>
      <c r="H21" s="201"/>
      <c r="I21" s="201"/>
      <c r="J21" s="202" t="s">
        <v>241</v>
      </c>
      <c r="K21" s="202"/>
      <c r="L21" s="201"/>
      <c r="M21" s="201"/>
      <c r="N21" s="201"/>
      <c r="O21" s="203"/>
      <c r="P21" s="203"/>
      <c r="R21" s="398">
        <f>'PA 3'!Q37-'PA 3'!Q31</f>
        <v>0</v>
      </c>
    </row>
    <row r="22" spans="1:18" ht="3" customHeight="1" x14ac:dyDescent="0.3">
      <c r="A22" s="195"/>
      <c r="B22" s="189"/>
      <c r="C22" s="189"/>
      <c r="D22" s="189"/>
      <c r="E22" s="189"/>
      <c r="F22" s="206"/>
      <c r="G22" s="206"/>
      <c r="H22" s="206"/>
      <c r="I22" s="206"/>
      <c r="J22" s="207"/>
      <c r="K22" s="207"/>
      <c r="L22" s="206"/>
      <c r="M22" s="206"/>
      <c r="N22" s="206"/>
      <c r="O22" s="208"/>
      <c r="P22" s="208"/>
      <c r="R22" s="215"/>
    </row>
    <row r="23" spans="1:18" x14ac:dyDescent="0.3">
      <c r="A23" s="195">
        <v>2</v>
      </c>
      <c r="B23" s="189" t="s">
        <v>242</v>
      </c>
      <c r="C23" s="189"/>
      <c r="D23" s="189"/>
      <c r="E23" s="189"/>
      <c r="F23" s="201" t="s">
        <v>303</v>
      </c>
      <c r="G23" s="201"/>
      <c r="H23" s="201"/>
      <c r="I23" s="203"/>
      <c r="J23" s="201"/>
      <c r="K23" s="201"/>
      <c r="L23" s="201"/>
      <c r="M23" s="201"/>
      <c r="N23" s="201"/>
      <c r="O23" s="203"/>
      <c r="P23" s="203"/>
      <c r="Q23" s="192" t="s">
        <v>244</v>
      </c>
      <c r="R23" s="399">
        <f>'PA 3'!Q31</f>
        <v>0</v>
      </c>
    </row>
    <row r="24" spans="1:18" ht="3" customHeight="1" x14ac:dyDescent="0.3">
      <c r="A24" s="195"/>
      <c r="B24" s="189"/>
      <c r="C24" s="189"/>
      <c r="D24" s="189"/>
      <c r="E24" s="189"/>
      <c r="F24" s="206"/>
      <c r="G24" s="206"/>
      <c r="H24" s="206"/>
      <c r="I24" s="208"/>
      <c r="J24" s="206"/>
      <c r="K24" s="206"/>
      <c r="L24" s="206"/>
      <c r="M24" s="206"/>
      <c r="N24" s="206"/>
      <c r="O24" s="208"/>
      <c r="P24" s="208"/>
      <c r="Q24" s="192"/>
      <c r="R24" s="215"/>
    </row>
    <row r="25" spans="1:18" x14ac:dyDescent="0.3">
      <c r="A25" s="195"/>
      <c r="B25" s="189" t="s">
        <v>245</v>
      </c>
      <c r="C25" s="189"/>
      <c r="D25" s="189"/>
      <c r="E25" s="189"/>
      <c r="F25" s="201" t="s">
        <v>304</v>
      </c>
      <c r="G25" s="201"/>
      <c r="H25" s="201"/>
      <c r="I25" s="201"/>
      <c r="J25" s="201"/>
      <c r="K25" s="201"/>
      <c r="L25" s="201"/>
      <c r="M25" s="201"/>
      <c r="N25" s="201"/>
      <c r="O25" s="203"/>
      <c r="P25" s="203"/>
      <c r="Q25" s="192" t="s">
        <v>244</v>
      </c>
      <c r="R25" s="399"/>
    </row>
    <row r="26" spans="1:18" ht="3" customHeight="1" x14ac:dyDescent="0.3">
      <c r="A26" s="195"/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Q26" s="192"/>
      <c r="R26" s="216"/>
    </row>
    <row r="27" spans="1:18" x14ac:dyDescent="0.3">
      <c r="A27" s="195"/>
      <c r="B27" s="189" t="s">
        <v>247</v>
      </c>
      <c r="C27" s="189"/>
      <c r="D27" s="189"/>
      <c r="E27" s="189"/>
      <c r="F27" s="189" t="s">
        <v>305</v>
      </c>
      <c r="G27" s="189"/>
      <c r="H27" s="189"/>
      <c r="I27" s="189"/>
      <c r="J27" s="553"/>
      <c r="K27" s="553"/>
      <c r="L27" s="553"/>
      <c r="M27" s="553"/>
      <c r="N27" s="553"/>
      <c r="O27" s="553"/>
      <c r="P27" s="553"/>
      <c r="Q27" s="192" t="s">
        <v>244</v>
      </c>
      <c r="R27" s="399"/>
    </row>
    <row r="28" spans="1:18" ht="9.75" customHeight="1" x14ac:dyDescent="0.3">
      <c r="A28" s="195"/>
      <c r="B28" s="189"/>
      <c r="C28" s="189"/>
      <c r="D28" s="189"/>
      <c r="E28" s="189"/>
      <c r="F28" s="191" t="s">
        <v>249</v>
      </c>
      <c r="G28" s="191"/>
      <c r="H28" s="191"/>
      <c r="I28" s="189"/>
      <c r="J28" s="189"/>
      <c r="K28" s="189"/>
      <c r="L28" s="189"/>
      <c r="M28" s="189"/>
      <c r="N28" s="189"/>
      <c r="R28" s="217"/>
    </row>
    <row r="29" spans="1:18" x14ac:dyDescent="0.3">
      <c r="A29" s="195">
        <v>3</v>
      </c>
      <c r="B29" s="189" t="s">
        <v>250</v>
      </c>
      <c r="C29" s="189"/>
      <c r="D29" s="189"/>
      <c r="E29" s="189"/>
      <c r="F29" s="189"/>
      <c r="G29" s="189"/>
      <c r="H29" s="189"/>
      <c r="I29" s="189"/>
      <c r="J29" s="189"/>
      <c r="K29" s="191" t="s">
        <v>249</v>
      </c>
      <c r="M29" s="189"/>
      <c r="N29" s="189"/>
      <c r="Q29" s="192" t="s">
        <v>244</v>
      </c>
      <c r="R29" s="217"/>
    </row>
    <row r="30" spans="1:18" x14ac:dyDescent="0.3">
      <c r="A30" s="195"/>
      <c r="B30" s="553"/>
      <c r="C30" s="553"/>
      <c r="D30" s="553"/>
      <c r="E30" s="553"/>
      <c r="F30" s="553"/>
      <c r="G30" s="553"/>
      <c r="H30" s="553"/>
      <c r="I30" s="553"/>
      <c r="J30" s="553"/>
      <c r="K30" s="553"/>
      <c r="L30" s="553"/>
      <c r="M30" s="553"/>
      <c r="N30" s="553"/>
      <c r="O30" s="553"/>
      <c r="P30" s="553"/>
      <c r="R30" s="399"/>
    </row>
    <row r="31" spans="1:18" ht="3" customHeight="1" x14ac:dyDescent="0.3">
      <c r="A31" s="195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R31" s="215"/>
    </row>
    <row r="32" spans="1:18" x14ac:dyDescent="0.3">
      <c r="A32" s="195">
        <v>4</v>
      </c>
      <c r="B32" s="189" t="s">
        <v>251</v>
      </c>
      <c r="C32" s="189"/>
      <c r="D32" s="189"/>
      <c r="E32" s="189"/>
      <c r="F32" s="189"/>
      <c r="G32" s="189"/>
      <c r="H32" s="189"/>
      <c r="I32" s="553"/>
      <c r="J32" s="553"/>
      <c r="K32" s="553"/>
      <c r="L32" s="553"/>
      <c r="M32" s="553"/>
      <c r="N32" s="553"/>
      <c r="O32" s="553"/>
      <c r="P32" s="553"/>
      <c r="Q32" s="192" t="s">
        <v>244</v>
      </c>
      <c r="R32" s="399"/>
    </row>
    <row r="33" spans="1:18" ht="9" customHeight="1" x14ac:dyDescent="0.3">
      <c r="A33" s="195"/>
      <c r="B33" s="191" t="s">
        <v>249</v>
      </c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R33" s="217"/>
    </row>
    <row r="34" spans="1:18" x14ac:dyDescent="0.3">
      <c r="A34" s="195">
        <v>5</v>
      </c>
      <c r="B34" s="201" t="s">
        <v>252</v>
      </c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3"/>
      <c r="P34" s="203"/>
      <c r="Q34" s="192" t="s">
        <v>244</v>
      </c>
      <c r="R34" s="399"/>
    </row>
    <row r="35" spans="1:18" ht="3" customHeight="1" x14ac:dyDescent="0.3">
      <c r="A35" s="195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Q35" s="192"/>
      <c r="R35" s="216"/>
    </row>
    <row r="36" spans="1:18" x14ac:dyDescent="0.3">
      <c r="A36" s="195">
        <v>6</v>
      </c>
      <c r="B36" s="201" t="s">
        <v>253</v>
      </c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3"/>
      <c r="P36" s="203"/>
      <c r="Q36" s="192" t="s">
        <v>244</v>
      </c>
      <c r="R36" s="399"/>
    </row>
    <row r="37" spans="1:18" ht="3" customHeight="1" x14ac:dyDescent="0.3">
      <c r="A37" s="195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Q37" s="192"/>
      <c r="R37" s="216"/>
    </row>
    <row r="38" spans="1:18" x14ac:dyDescent="0.3">
      <c r="A38" s="195">
        <v>7</v>
      </c>
      <c r="B38" s="189" t="s">
        <v>254</v>
      </c>
      <c r="C38" s="189"/>
      <c r="D38" s="189"/>
      <c r="E38" s="189"/>
      <c r="F38" s="189"/>
      <c r="G38" s="189"/>
      <c r="H38" s="189"/>
      <c r="I38" s="553"/>
      <c r="J38" s="553"/>
      <c r="K38" s="553"/>
      <c r="L38" s="553"/>
      <c r="M38" s="553"/>
      <c r="N38" s="553"/>
      <c r="O38" s="553"/>
      <c r="P38" s="553"/>
      <c r="Q38" s="192" t="s">
        <v>244</v>
      </c>
      <c r="R38" s="399"/>
    </row>
    <row r="39" spans="1:18" ht="9" customHeight="1" x14ac:dyDescent="0.3">
      <c r="A39" s="195"/>
      <c r="B39" s="191" t="s">
        <v>249</v>
      </c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R39" s="217"/>
    </row>
    <row r="40" spans="1:18" x14ac:dyDescent="0.3">
      <c r="A40" s="195">
        <v>8</v>
      </c>
      <c r="B40" s="201" t="s">
        <v>255</v>
      </c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3"/>
      <c r="P40" s="203"/>
      <c r="Q40" s="192" t="s">
        <v>256</v>
      </c>
      <c r="R40" s="399">
        <f>SUM(R21:R39)</f>
        <v>0</v>
      </c>
    </row>
    <row r="41" spans="1:18" ht="3" customHeight="1" x14ac:dyDescent="0.3">
      <c r="A41" s="195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Q41" s="192"/>
      <c r="R41" s="216"/>
    </row>
    <row r="42" spans="1:18" x14ac:dyDescent="0.3">
      <c r="A42" s="195">
        <v>9</v>
      </c>
      <c r="B42" s="201" t="s">
        <v>257</v>
      </c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3"/>
      <c r="P42" s="203"/>
      <c r="Q42" s="192" t="s">
        <v>44</v>
      </c>
      <c r="R42" s="399">
        <f>('PA 3'!Q40+'PA 3'!Q41+'PA 3'!Q42)*-1</f>
        <v>0</v>
      </c>
    </row>
    <row r="43" spans="1:18" ht="3" customHeight="1" x14ac:dyDescent="0.3">
      <c r="A43" s="195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Q43" s="192"/>
      <c r="R43" s="216"/>
    </row>
    <row r="44" spans="1:18" x14ac:dyDescent="0.3">
      <c r="A44" s="195">
        <v>10</v>
      </c>
      <c r="B44" s="189" t="s">
        <v>258</v>
      </c>
      <c r="C44" s="189"/>
      <c r="D44" s="189"/>
      <c r="E44" s="189" t="s">
        <v>259</v>
      </c>
      <c r="F44" s="189"/>
      <c r="G44" s="189"/>
      <c r="H44" s="201" t="s">
        <v>306</v>
      </c>
      <c r="I44" s="203"/>
      <c r="J44" s="201"/>
      <c r="K44" s="201"/>
      <c r="L44" s="201"/>
      <c r="M44" s="201"/>
      <c r="N44" s="201"/>
      <c r="O44" s="203"/>
      <c r="P44" s="203"/>
      <c r="Q44" s="192" t="s">
        <v>44</v>
      </c>
      <c r="R44" s="399">
        <f>'PA 3'!Q44*-1</f>
        <v>0</v>
      </c>
    </row>
    <row r="45" spans="1:18" x14ac:dyDescent="0.3">
      <c r="A45" s="195"/>
      <c r="B45" s="189" t="s">
        <v>261</v>
      </c>
      <c r="C45" s="189"/>
      <c r="D45" s="189"/>
      <c r="E45" s="189" t="s">
        <v>307</v>
      </c>
      <c r="F45" s="189"/>
      <c r="G45" s="189"/>
      <c r="H45" s="189"/>
      <c r="J45" s="189"/>
      <c r="K45" s="189"/>
      <c r="L45" s="189"/>
      <c r="M45" s="189"/>
      <c r="N45" s="189"/>
      <c r="R45" s="217"/>
    </row>
    <row r="46" spans="1:18" x14ac:dyDescent="0.3">
      <c r="A46" s="195"/>
      <c r="B46" s="189" t="s">
        <v>263</v>
      </c>
      <c r="C46" s="189"/>
      <c r="E46" s="189" t="s">
        <v>308</v>
      </c>
      <c r="H46" s="201" t="s">
        <v>309</v>
      </c>
      <c r="I46" s="203"/>
      <c r="J46" s="203"/>
      <c r="K46" s="203"/>
      <c r="L46" s="203"/>
      <c r="M46" s="203"/>
      <c r="N46" s="203"/>
      <c r="O46" s="203"/>
      <c r="P46" s="203"/>
      <c r="Q46" s="192" t="s">
        <v>44</v>
      </c>
      <c r="R46" s="399"/>
    </row>
    <row r="47" spans="1:18" ht="3" customHeight="1" x14ac:dyDescent="0.3">
      <c r="A47" s="195"/>
      <c r="B47" s="189"/>
      <c r="C47" s="189"/>
      <c r="E47" s="189"/>
      <c r="H47" s="189"/>
      <c r="Q47" s="192"/>
      <c r="R47" s="216"/>
    </row>
    <row r="48" spans="1:18" x14ac:dyDescent="0.3">
      <c r="A48" s="195">
        <v>11</v>
      </c>
      <c r="B48" s="204" t="s">
        <v>266</v>
      </c>
      <c r="C48" s="201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3"/>
      <c r="O48" s="203"/>
      <c r="P48" s="203"/>
      <c r="Q48" s="192" t="s">
        <v>256</v>
      </c>
      <c r="R48" s="399">
        <f>R40-SUM(R42:R46)</f>
        <v>0</v>
      </c>
    </row>
    <row r="49" spans="1:18" ht="9" customHeight="1" x14ac:dyDescent="0.3">
      <c r="A49" s="195"/>
      <c r="B49" s="196" t="s">
        <v>267</v>
      </c>
      <c r="C49" s="189"/>
      <c r="R49" s="217"/>
    </row>
    <row r="50" spans="1:18" x14ac:dyDescent="0.3">
      <c r="A50" s="195">
        <v>12</v>
      </c>
      <c r="B50" s="201" t="s">
        <v>268</v>
      </c>
      <c r="C50" s="201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R50" s="399">
        <f>'PA 3'!Q46*-1</f>
        <v>0</v>
      </c>
    </row>
    <row r="51" spans="1:18" x14ac:dyDescent="0.3">
      <c r="A51" s="195">
        <v>13</v>
      </c>
      <c r="B51" s="189" t="s">
        <v>269</v>
      </c>
      <c r="C51" s="189"/>
      <c r="R51" s="218"/>
    </row>
    <row r="52" spans="1:18" ht="9" customHeight="1" x14ac:dyDescent="0.3">
      <c r="B52" s="191" t="s">
        <v>270</v>
      </c>
      <c r="R52" s="218"/>
    </row>
    <row r="53" spans="1:18" ht="13.5" customHeight="1" x14ac:dyDescent="0.3">
      <c r="A53" s="562">
        <v>13.1</v>
      </c>
      <c r="B53" s="562"/>
      <c r="C53" s="564" t="s">
        <v>271</v>
      </c>
      <c r="D53" s="197" t="s">
        <v>272</v>
      </c>
      <c r="E53" s="201" t="s">
        <v>273</v>
      </c>
      <c r="F53" s="201"/>
      <c r="G53" s="201"/>
      <c r="H53" s="201"/>
      <c r="I53" s="203"/>
      <c r="J53" s="203"/>
      <c r="K53" s="203"/>
      <c r="L53" s="203"/>
      <c r="M53" s="203"/>
      <c r="N53" s="203"/>
      <c r="O53" s="203"/>
      <c r="P53" s="395" t="s">
        <v>216</v>
      </c>
      <c r="R53" s="401"/>
    </row>
    <row r="54" spans="1:18" ht="3" customHeight="1" x14ac:dyDescent="0.3">
      <c r="A54" s="210"/>
      <c r="B54" s="210"/>
      <c r="C54" s="564"/>
      <c r="D54" s="197"/>
      <c r="E54" s="189"/>
      <c r="F54" s="189"/>
      <c r="G54" s="189"/>
      <c r="H54" s="189"/>
      <c r="R54" s="219"/>
    </row>
    <row r="55" spans="1:18" x14ac:dyDescent="0.3">
      <c r="A55" s="195"/>
      <c r="B55" s="195"/>
      <c r="C55" s="564"/>
      <c r="D55" s="198" t="s">
        <v>274</v>
      </c>
      <c r="E55" s="189" t="s">
        <v>275</v>
      </c>
      <c r="F55" s="189"/>
      <c r="G55" s="189"/>
      <c r="H55" s="189"/>
      <c r="I55" s="554"/>
      <c r="J55" s="554"/>
      <c r="K55" s="554"/>
      <c r="L55" s="554"/>
      <c r="M55" s="554"/>
      <c r="N55" s="554"/>
      <c r="O55" s="554"/>
      <c r="P55" s="554"/>
      <c r="R55" s="401"/>
    </row>
    <row r="56" spans="1:18" ht="9" customHeight="1" x14ac:dyDescent="0.3">
      <c r="A56" s="195"/>
      <c r="B56" s="195"/>
      <c r="C56" s="564"/>
      <c r="D56" s="199"/>
      <c r="E56" s="194" t="s">
        <v>249</v>
      </c>
      <c r="R56" s="218"/>
    </row>
    <row r="57" spans="1:18" x14ac:dyDescent="0.3">
      <c r="A57" s="563">
        <v>13.2</v>
      </c>
      <c r="B57" s="563"/>
      <c r="C57" s="189" t="s">
        <v>276</v>
      </c>
      <c r="D57" s="198" t="s">
        <v>277</v>
      </c>
      <c r="E57" s="201" t="s">
        <v>278</v>
      </c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R57" s="401"/>
    </row>
    <row r="58" spans="1:18" ht="3" customHeight="1" x14ac:dyDescent="0.3">
      <c r="A58" s="211"/>
      <c r="B58" s="211"/>
      <c r="C58" s="189"/>
      <c r="D58" s="198"/>
      <c r="E58" s="189"/>
      <c r="R58" s="220"/>
    </row>
    <row r="59" spans="1:18" x14ac:dyDescent="0.3">
      <c r="A59" s="195"/>
      <c r="B59" s="195"/>
      <c r="C59" s="189" t="s">
        <v>279</v>
      </c>
      <c r="D59" s="198" t="s">
        <v>280</v>
      </c>
      <c r="E59" s="201" t="s">
        <v>281</v>
      </c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R59" s="401"/>
    </row>
    <row r="60" spans="1:18" ht="3" customHeight="1" x14ac:dyDescent="0.3">
      <c r="A60" s="195"/>
      <c r="B60" s="195"/>
      <c r="C60" s="189"/>
      <c r="D60" s="198"/>
      <c r="E60" s="189"/>
      <c r="I60" s="208"/>
      <c r="J60" s="208"/>
      <c r="K60" s="208"/>
      <c r="L60" s="208"/>
      <c r="M60" s="208"/>
      <c r="N60" s="208"/>
      <c r="O60" s="208"/>
      <c r="P60" s="208"/>
      <c r="R60" s="220"/>
    </row>
    <row r="61" spans="1:18" x14ac:dyDescent="0.3">
      <c r="A61" s="195"/>
      <c r="B61" s="195"/>
      <c r="C61" s="189" t="s">
        <v>282</v>
      </c>
      <c r="D61" s="198" t="s">
        <v>283</v>
      </c>
      <c r="E61" s="189" t="s">
        <v>275</v>
      </c>
      <c r="I61" s="554"/>
      <c r="J61" s="554"/>
      <c r="K61" s="554"/>
      <c r="L61" s="554"/>
      <c r="M61" s="554"/>
      <c r="N61" s="554"/>
      <c r="O61" s="554"/>
      <c r="P61" s="554"/>
      <c r="R61" s="401"/>
    </row>
    <row r="62" spans="1:18" ht="9" customHeight="1" x14ac:dyDescent="0.3">
      <c r="B62" s="189"/>
      <c r="C62" s="189"/>
      <c r="E62" s="194" t="s">
        <v>249</v>
      </c>
      <c r="R62" s="218"/>
    </row>
    <row r="63" spans="1:18" x14ac:dyDescent="0.3">
      <c r="A63" s="562">
        <v>13.3</v>
      </c>
      <c r="B63" s="562"/>
      <c r="C63" s="201" t="s">
        <v>284</v>
      </c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R63" s="401"/>
    </row>
    <row r="64" spans="1:18" ht="3" customHeight="1" x14ac:dyDescent="0.3">
      <c r="A64" s="210"/>
      <c r="B64" s="210"/>
      <c r="C64" s="189"/>
    </row>
    <row r="65" spans="1:18" x14ac:dyDescent="0.3">
      <c r="A65" s="195">
        <v>14</v>
      </c>
      <c r="B65" s="189" t="s">
        <v>285</v>
      </c>
      <c r="C65" s="189"/>
      <c r="F65" s="189" t="s">
        <v>286</v>
      </c>
      <c r="G65" s="189"/>
      <c r="H65" s="189"/>
      <c r="I65" s="554"/>
      <c r="J65" s="554"/>
      <c r="K65" s="554"/>
      <c r="L65" s="554"/>
      <c r="M65" s="554"/>
      <c r="N65" s="554"/>
      <c r="O65" s="554"/>
      <c r="P65" s="554"/>
      <c r="Q65" s="554"/>
      <c r="R65" s="554"/>
    </row>
    <row r="66" spans="1:18" ht="3" customHeight="1" x14ac:dyDescent="0.3">
      <c r="A66" s="195"/>
      <c r="B66" s="189"/>
      <c r="C66" s="189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2"/>
      <c r="O66" s="212"/>
      <c r="P66" s="212"/>
      <c r="Q66" s="212"/>
      <c r="R66" s="212"/>
    </row>
    <row r="67" spans="1:18" x14ac:dyDescent="0.3">
      <c r="A67" s="195"/>
      <c r="B67" s="189" t="s">
        <v>287</v>
      </c>
      <c r="C67" s="189"/>
      <c r="F67" s="189" t="s">
        <v>288</v>
      </c>
      <c r="G67" s="189"/>
      <c r="H67" s="189"/>
      <c r="I67" s="554"/>
      <c r="J67" s="554"/>
      <c r="K67" s="554"/>
      <c r="L67" s="554"/>
      <c r="M67" s="554"/>
      <c r="N67" s="554"/>
      <c r="O67" s="554"/>
      <c r="P67" s="554"/>
      <c r="Q67" s="554"/>
      <c r="R67" s="554"/>
    </row>
    <row r="68" spans="1:18" ht="3" customHeight="1" x14ac:dyDescent="0.3">
      <c r="A68" s="195"/>
      <c r="B68" s="189"/>
      <c r="C68" s="189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2"/>
      <c r="Q68" s="212"/>
      <c r="R68" s="212"/>
    </row>
    <row r="69" spans="1:18" x14ac:dyDescent="0.3">
      <c r="A69" s="195"/>
      <c r="B69" s="189" t="s">
        <v>289</v>
      </c>
      <c r="C69" s="189"/>
      <c r="F69" s="189" t="s">
        <v>290</v>
      </c>
      <c r="G69" s="189"/>
      <c r="H69" s="189"/>
      <c r="I69" s="554"/>
      <c r="J69" s="554"/>
      <c r="K69" s="554"/>
      <c r="L69" s="554"/>
      <c r="M69" s="554"/>
      <c r="N69" s="554"/>
      <c r="O69" s="554"/>
      <c r="P69" s="554"/>
      <c r="Q69" s="554"/>
      <c r="R69" s="554"/>
    </row>
    <row r="70" spans="1:18" ht="3" customHeight="1" x14ac:dyDescent="0.3">
      <c r="A70" s="195"/>
      <c r="B70" s="189"/>
      <c r="C70" s="189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2"/>
      <c r="O70" s="212"/>
      <c r="P70" s="212"/>
      <c r="Q70" s="212"/>
      <c r="R70" s="212"/>
    </row>
    <row r="71" spans="1:18" x14ac:dyDescent="0.3">
      <c r="A71" s="195">
        <v>15</v>
      </c>
      <c r="B71" s="189" t="s">
        <v>291</v>
      </c>
      <c r="C71" s="189"/>
      <c r="D71" s="556" t="str">
        <f>IF('PA 3'!L7&lt;100%,"Taux d'occupation "&amp;('PA 3'!L7+'PA 3'!L12)*100&amp;"%","")</f>
        <v>Taux d'occupation 0%</v>
      </c>
      <c r="E71" s="556"/>
      <c r="F71" s="556"/>
      <c r="G71" s="556"/>
      <c r="H71" s="556"/>
      <c r="I71" s="556"/>
      <c r="J71" s="556"/>
      <c r="K71" s="556"/>
      <c r="L71" s="556"/>
      <c r="M71" s="556"/>
      <c r="N71" s="556"/>
      <c r="O71" s="556"/>
      <c r="P71" s="556"/>
      <c r="Q71" s="556"/>
      <c r="R71" s="556"/>
    </row>
    <row r="72" spans="1:18" ht="3" customHeight="1" x14ac:dyDescent="0.3">
      <c r="A72" s="195"/>
      <c r="B72" s="189"/>
      <c r="C72" s="189"/>
      <c r="D72" s="223"/>
      <c r="E72" s="223"/>
      <c r="F72" s="223"/>
      <c r="G72" s="223"/>
      <c r="H72" s="223"/>
      <c r="I72" s="223"/>
      <c r="J72" s="223"/>
      <c r="K72" s="223"/>
      <c r="L72" s="223"/>
      <c r="M72" s="223"/>
      <c r="N72" s="223"/>
      <c r="O72" s="223"/>
      <c r="P72" s="223"/>
      <c r="Q72" s="223"/>
      <c r="R72" s="223"/>
    </row>
    <row r="73" spans="1:18" x14ac:dyDescent="0.3">
      <c r="A73" s="195"/>
      <c r="B73" s="189" t="s">
        <v>292</v>
      </c>
      <c r="C73" s="189"/>
      <c r="D73" s="557"/>
      <c r="E73" s="557"/>
      <c r="F73" s="557"/>
      <c r="G73" s="557"/>
      <c r="H73" s="557"/>
      <c r="I73" s="557"/>
      <c r="J73" s="557"/>
      <c r="K73" s="557"/>
      <c r="L73" s="557"/>
      <c r="M73" s="557"/>
      <c r="N73" s="557"/>
      <c r="O73" s="557"/>
      <c r="P73" s="557"/>
      <c r="Q73" s="557"/>
      <c r="R73" s="557"/>
    </row>
    <row r="74" spans="1:18" ht="3" customHeight="1" x14ac:dyDescent="0.3">
      <c r="A74" s="195"/>
      <c r="B74" s="189"/>
      <c r="C74" s="189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</row>
    <row r="75" spans="1:18" x14ac:dyDescent="0.3">
      <c r="A75" s="195"/>
      <c r="B75" s="189" t="s">
        <v>293</v>
      </c>
      <c r="C75" s="189"/>
      <c r="D75" s="557"/>
      <c r="E75" s="557"/>
      <c r="F75" s="557"/>
      <c r="G75" s="557"/>
      <c r="H75" s="557"/>
      <c r="I75" s="557"/>
      <c r="J75" s="557"/>
      <c r="K75" s="557"/>
      <c r="L75" s="557"/>
      <c r="M75" s="557"/>
      <c r="N75" s="557"/>
      <c r="O75" s="557"/>
      <c r="P75" s="557"/>
      <c r="Q75" s="557"/>
      <c r="R75" s="557"/>
    </row>
    <row r="76" spans="1:18" x14ac:dyDescent="0.3">
      <c r="A76" s="195"/>
      <c r="B76" s="189"/>
      <c r="C76" s="189"/>
    </row>
    <row r="77" spans="1:18" x14ac:dyDescent="0.3">
      <c r="A77" s="195" t="s">
        <v>294</v>
      </c>
      <c r="B77" s="189" t="s">
        <v>295</v>
      </c>
      <c r="C77" s="189"/>
      <c r="F77" s="189" t="s">
        <v>296</v>
      </c>
      <c r="G77" s="189"/>
      <c r="M77" s="565">
        <f>'Attestation du salaire (ord.)'!A8:A8</f>
        <v>0</v>
      </c>
      <c r="N77" s="565"/>
      <c r="O77" s="565"/>
      <c r="P77" s="565"/>
      <c r="Q77" s="565"/>
      <c r="R77" s="565"/>
    </row>
    <row r="78" spans="1:18" ht="9" customHeight="1" x14ac:dyDescent="0.3">
      <c r="B78" s="189"/>
      <c r="C78" s="189"/>
      <c r="F78" s="191" t="s">
        <v>297</v>
      </c>
      <c r="G78" s="191"/>
      <c r="M78" s="221"/>
      <c r="N78" s="221"/>
      <c r="O78" s="221"/>
      <c r="P78" s="221"/>
      <c r="Q78" s="221"/>
      <c r="R78" s="221"/>
    </row>
    <row r="79" spans="1:18" x14ac:dyDescent="0.3">
      <c r="B79" s="555"/>
      <c r="C79" s="555"/>
      <c r="D79" s="555"/>
      <c r="F79" s="189" t="s">
        <v>298</v>
      </c>
      <c r="G79" s="189"/>
      <c r="M79" s="498">
        <f>'Attestation du salaire (ord.)'!A9:A9</f>
        <v>0</v>
      </c>
      <c r="N79" s="498"/>
      <c r="O79" s="498"/>
      <c r="P79" s="498"/>
      <c r="Q79" s="498"/>
      <c r="R79" s="498"/>
    </row>
    <row r="80" spans="1:18" ht="9" customHeight="1" x14ac:dyDescent="0.3">
      <c r="B80" s="189"/>
      <c r="C80" s="189"/>
      <c r="F80" s="191" t="s">
        <v>299</v>
      </c>
      <c r="G80" s="191"/>
      <c r="M80" s="221"/>
      <c r="N80" s="221"/>
      <c r="O80" s="221"/>
      <c r="P80" s="221"/>
      <c r="Q80" s="221"/>
      <c r="R80" s="221"/>
    </row>
    <row r="81" spans="2:18" ht="13.5" customHeight="1" x14ac:dyDescent="0.3">
      <c r="B81" s="189"/>
      <c r="C81" s="189"/>
      <c r="F81" s="189" t="s">
        <v>300</v>
      </c>
      <c r="G81" s="189"/>
      <c r="M81" s="565">
        <f>'Attestation du salaire (ord.)'!A10:A10</f>
        <v>0</v>
      </c>
      <c r="N81" s="565"/>
      <c r="O81" s="565"/>
      <c r="P81" s="565"/>
      <c r="Q81" s="565"/>
      <c r="R81" s="565"/>
    </row>
    <row r="82" spans="2:18" ht="9" customHeight="1" x14ac:dyDescent="0.3">
      <c r="B82" s="189"/>
      <c r="C82" s="189"/>
      <c r="F82" s="191" t="s">
        <v>301</v>
      </c>
      <c r="G82" s="191"/>
      <c r="M82" s="222"/>
      <c r="N82" s="222"/>
      <c r="O82" s="222"/>
      <c r="P82" s="222"/>
      <c r="Q82" s="222"/>
      <c r="R82" s="222"/>
    </row>
    <row r="83" spans="2:18" ht="13.5" customHeight="1" x14ac:dyDescent="0.3">
      <c r="B83" s="189"/>
      <c r="C83" s="189"/>
      <c r="I83" s="189"/>
      <c r="M83" s="565" t="str">
        <f>'CS 1'!M83:R83</f>
        <v>Entrez le numéro de téléphone ici</v>
      </c>
      <c r="N83" s="565"/>
      <c r="O83" s="565"/>
      <c r="P83" s="565"/>
      <c r="Q83" s="565"/>
      <c r="R83" s="565"/>
    </row>
    <row r="84" spans="2:18" x14ac:dyDescent="0.3">
      <c r="B84" s="189"/>
      <c r="C84" s="189"/>
    </row>
  </sheetData>
  <sheetProtection algorithmName="SHA-512" hashValue="dU0XIOMEyBffL2aVoF7H09uKHVMtJA82i7oD9VhOi4syPApE/8Q84/Wyq32hMDM2RGR0arEdo7/+wQKZ8Do46w==" saltValue="s4M+0QXyGG6Naa1i6CQ4Zw==" spinCount="100000" sheet="1" objects="1" scenarios="1"/>
  <mergeCells count="28">
    <mergeCell ref="O5:R6"/>
    <mergeCell ref="B7:C7"/>
    <mergeCell ref="I7:J7"/>
    <mergeCell ref="O7:R8"/>
    <mergeCell ref="H5:K5"/>
    <mergeCell ref="B5:F5"/>
    <mergeCell ref="I69:R69"/>
    <mergeCell ref="R18:R20"/>
    <mergeCell ref="J27:P27"/>
    <mergeCell ref="B30:P30"/>
    <mergeCell ref="I32:P32"/>
    <mergeCell ref="I38:P38"/>
    <mergeCell ref="A53:B53"/>
    <mergeCell ref="C53:C56"/>
    <mergeCell ref="I55:P55"/>
    <mergeCell ref="A57:B57"/>
    <mergeCell ref="I61:P61"/>
    <mergeCell ref="A63:B63"/>
    <mergeCell ref="I65:R65"/>
    <mergeCell ref="I67:R67"/>
    <mergeCell ref="M83:R83"/>
    <mergeCell ref="D71:R71"/>
    <mergeCell ref="D73:R73"/>
    <mergeCell ref="D75:R75"/>
    <mergeCell ref="M77:R77"/>
    <mergeCell ref="M79:R79"/>
    <mergeCell ref="M81:R81"/>
    <mergeCell ref="B79:D79"/>
  </mergeCells>
  <pageMargins left="0.39370078740157483" right="7.874015748031496E-2" top="0.39370078740157483" bottom="0.39370078740157483" header="0.31496062992125984" footer="0.31496062992125984"/>
  <pageSetup paperSize="9" scale="95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8" tint="0.59999389629810485"/>
    <pageSetUpPr fitToPage="1"/>
  </sheetPr>
  <dimension ref="A1:R84"/>
  <sheetViews>
    <sheetView showGridLines="0" showZeros="0" zoomScaleNormal="100" workbookViewId="0">
      <selection activeCell="C1" sqref="C1"/>
    </sheetView>
  </sheetViews>
  <sheetFormatPr baseColWidth="10" defaultColWidth="11.453125" defaultRowHeight="13" x14ac:dyDescent="0.3"/>
  <cols>
    <col min="1" max="1" width="2.453125" style="189" bestFit="1" customWidth="1"/>
    <col min="2" max="2" width="3.26953125" style="190" customWidth="1"/>
    <col min="3" max="3" width="12" style="190" customWidth="1"/>
    <col min="4" max="4" width="7.453125" style="190" customWidth="1"/>
    <col min="5" max="5" width="1.81640625" style="190" customWidth="1"/>
    <col min="6" max="6" width="10.26953125" style="190" customWidth="1"/>
    <col min="7" max="7" width="1.7265625" style="190" customWidth="1"/>
    <col min="8" max="9" width="5.7265625" style="190" customWidth="1"/>
    <col min="10" max="11" width="6.26953125" style="190" customWidth="1"/>
    <col min="12" max="12" width="4" style="190" customWidth="1"/>
    <col min="13" max="13" width="2.1796875" style="190" bestFit="1" customWidth="1"/>
    <col min="14" max="14" width="2.7265625" style="190" customWidth="1"/>
    <col min="15" max="15" width="14.7265625" style="190" customWidth="1"/>
    <col min="16" max="16" width="2.7265625" style="190" customWidth="1"/>
    <col min="17" max="17" width="1.7265625" style="190" customWidth="1"/>
    <col min="18" max="18" width="14.1796875" style="190" customWidth="1"/>
    <col min="19" max="16384" width="11.453125" style="190"/>
  </cols>
  <sheetData>
    <row r="1" spans="1:18" ht="17" x14ac:dyDescent="0.5">
      <c r="A1" s="195" t="s">
        <v>215</v>
      </c>
      <c r="B1" s="395" t="s">
        <v>216</v>
      </c>
      <c r="C1" s="214" t="s">
        <v>217</v>
      </c>
    </row>
    <row r="2" spans="1:18" ht="3" customHeight="1" x14ac:dyDescent="0.5">
      <c r="A2" s="195"/>
      <c r="C2" s="214"/>
    </row>
    <row r="3" spans="1:18" ht="17" x14ac:dyDescent="0.5">
      <c r="A3" s="195" t="s">
        <v>218</v>
      </c>
      <c r="B3" s="396"/>
      <c r="C3" s="214" t="s">
        <v>219</v>
      </c>
    </row>
    <row r="4" spans="1:18" ht="9" customHeight="1" x14ac:dyDescent="0.3">
      <c r="A4" s="195"/>
      <c r="C4" s="199"/>
    </row>
    <row r="5" spans="1:18" ht="13.5" customHeight="1" x14ac:dyDescent="0.3">
      <c r="A5" s="195" t="s">
        <v>220</v>
      </c>
      <c r="B5" s="557" t="str">
        <f>IF('PA 4'!$F$6="","",'PA 4'!$F$6)</f>
        <v/>
      </c>
      <c r="C5" s="557"/>
      <c r="D5" s="557"/>
      <c r="E5" s="557"/>
      <c r="F5" s="557"/>
      <c r="G5" s="375"/>
      <c r="H5" s="558" cm="1">
        <f t="array" ref="H5">'PA 4'!F7:F7</f>
        <v>0</v>
      </c>
      <c r="I5" s="558"/>
      <c r="J5" s="558"/>
      <c r="K5" s="558"/>
      <c r="M5" s="200" t="s">
        <v>221</v>
      </c>
      <c r="N5" s="396"/>
      <c r="O5" s="560" t="s">
        <v>222</v>
      </c>
      <c r="P5" s="560"/>
      <c r="Q5" s="560"/>
      <c r="R5" s="560"/>
    </row>
    <row r="6" spans="1:18" x14ac:dyDescent="0.3">
      <c r="A6" s="195"/>
      <c r="B6" s="194" t="s">
        <v>223</v>
      </c>
      <c r="C6" s="205"/>
      <c r="D6" s="194"/>
      <c r="E6" s="205"/>
      <c r="H6" s="194" t="s">
        <v>224</v>
      </c>
      <c r="M6" s="200"/>
      <c r="O6" s="560"/>
      <c r="P6" s="560"/>
      <c r="Q6" s="560"/>
      <c r="R6" s="560"/>
    </row>
    <row r="7" spans="1:18" ht="13.5" customHeight="1" x14ac:dyDescent="0.3">
      <c r="A7" s="195" t="s">
        <v>225</v>
      </c>
      <c r="B7" s="559">
        <f>'PA 4'!A21</f>
        <v>46387</v>
      </c>
      <c r="C7" s="559"/>
      <c r="E7" s="195" t="s">
        <v>226</v>
      </c>
      <c r="F7" s="397">
        <f>IF('PA 4'!$Q$37=0,0,IF('PA 4'!$C$14&lt;'PA 4'!$C$21,'PA 4'!$C$21,'PA 4'!$C$14))</f>
        <v>0</v>
      </c>
      <c r="G7" s="397"/>
      <c r="H7" s="1"/>
      <c r="I7" s="558">
        <f>IF('PA 4'!$Q$37=0,0,IF('PA 4'!$C$15&gt;0,'PA 4'!$C$15,B7))</f>
        <v>0</v>
      </c>
      <c r="J7" s="558"/>
      <c r="M7" s="200" t="s">
        <v>227</v>
      </c>
      <c r="N7" s="396"/>
      <c r="O7" s="560" t="s">
        <v>228</v>
      </c>
      <c r="P7" s="560"/>
      <c r="Q7" s="560"/>
      <c r="R7" s="560"/>
    </row>
    <row r="8" spans="1:18" x14ac:dyDescent="0.3">
      <c r="A8" s="195"/>
      <c r="B8" s="194" t="s">
        <v>229</v>
      </c>
      <c r="C8" s="194"/>
      <c r="D8" s="194"/>
      <c r="E8" s="194"/>
      <c r="F8" s="194" t="s">
        <v>230</v>
      </c>
      <c r="G8" s="194"/>
      <c r="H8" s="194"/>
      <c r="I8" s="194" t="s">
        <v>231</v>
      </c>
      <c r="M8" s="200"/>
      <c r="O8" s="560"/>
      <c r="P8" s="560"/>
      <c r="Q8" s="560"/>
      <c r="R8" s="560"/>
    </row>
    <row r="9" spans="1:18" x14ac:dyDescent="0.3">
      <c r="A9" s="195" t="s">
        <v>232</v>
      </c>
    </row>
    <row r="10" spans="1:18" x14ac:dyDescent="0.3">
      <c r="A10" s="195"/>
    </row>
    <row r="11" spans="1:18" x14ac:dyDescent="0.3">
      <c r="A11" s="195"/>
      <c r="L11" s="1" t="str">
        <f>CONCATENATE('PA 4'!C6:C6," ",'PA 4'!C7:C7)</f>
        <v xml:space="preserve"> </v>
      </c>
    </row>
    <row r="12" spans="1:18" x14ac:dyDescent="0.3">
      <c r="A12" s="195"/>
      <c r="L12" s="1">
        <f>'PA 4'!C8:C8</f>
        <v>0</v>
      </c>
    </row>
    <row r="13" spans="1:18" x14ac:dyDescent="0.3">
      <c r="A13" s="195"/>
      <c r="L13" s="1">
        <f>'PA 4'!C9:C9</f>
        <v>0</v>
      </c>
    </row>
    <row r="14" spans="1:18" x14ac:dyDescent="0.3">
      <c r="A14" s="195"/>
    </row>
    <row r="15" spans="1:18" x14ac:dyDescent="0.3">
      <c r="A15" s="195"/>
    </row>
    <row r="16" spans="1:18" x14ac:dyDescent="0.3">
      <c r="A16" s="195"/>
    </row>
    <row r="17" spans="1:18" x14ac:dyDescent="0.3">
      <c r="A17" s="195"/>
    </row>
    <row r="18" spans="1:18" ht="13.5" customHeight="1" x14ac:dyDescent="0.3">
      <c r="A18" s="195"/>
      <c r="R18" s="561" t="s">
        <v>233</v>
      </c>
    </row>
    <row r="19" spans="1:18" x14ac:dyDescent="0.3">
      <c r="A19" s="195">
        <v>1</v>
      </c>
      <c r="B19" s="189" t="s">
        <v>234</v>
      </c>
      <c r="C19" s="189"/>
      <c r="D19" s="189" t="s">
        <v>235</v>
      </c>
      <c r="E19" s="189"/>
      <c r="F19" s="189"/>
      <c r="G19" s="189"/>
      <c r="H19" s="189"/>
      <c r="I19" s="189"/>
      <c r="J19" s="193" t="s">
        <v>236</v>
      </c>
      <c r="K19" s="193"/>
      <c r="L19" s="189"/>
      <c r="M19" s="189"/>
      <c r="N19" s="189"/>
      <c r="Q19" s="213"/>
      <c r="R19" s="561"/>
    </row>
    <row r="20" spans="1:18" x14ac:dyDescent="0.3">
      <c r="A20" s="195"/>
      <c r="B20" s="189" t="s">
        <v>237</v>
      </c>
      <c r="C20" s="189"/>
      <c r="D20" s="189" t="s">
        <v>238</v>
      </c>
      <c r="E20" s="189"/>
      <c r="F20" s="189"/>
      <c r="G20" s="189"/>
      <c r="H20" s="189"/>
      <c r="I20" s="189"/>
      <c r="J20" s="193" t="s">
        <v>236</v>
      </c>
      <c r="K20" s="193"/>
      <c r="L20" s="189"/>
      <c r="M20" s="189"/>
      <c r="N20" s="189"/>
      <c r="Q20" s="213"/>
      <c r="R20" s="561"/>
    </row>
    <row r="21" spans="1:18" x14ac:dyDescent="0.3">
      <c r="A21" s="195"/>
      <c r="B21" s="201" t="s">
        <v>239</v>
      </c>
      <c r="C21" s="201"/>
      <c r="D21" s="201" t="s">
        <v>240</v>
      </c>
      <c r="E21" s="201"/>
      <c r="F21" s="201"/>
      <c r="G21" s="201"/>
      <c r="H21" s="201"/>
      <c r="I21" s="201"/>
      <c r="J21" s="202" t="s">
        <v>241</v>
      </c>
      <c r="K21" s="202"/>
      <c r="L21" s="201"/>
      <c r="M21" s="201"/>
      <c r="N21" s="201"/>
      <c r="O21" s="203"/>
      <c r="P21" s="203"/>
      <c r="R21" s="398">
        <f>'PA 4'!Q37-'PA 4'!Q31</f>
        <v>0</v>
      </c>
    </row>
    <row r="22" spans="1:18" ht="3" customHeight="1" x14ac:dyDescent="0.3">
      <c r="A22" s="195"/>
      <c r="B22" s="189"/>
      <c r="C22" s="189"/>
      <c r="D22" s="189"/>
      <c r="E22" s="189"/>
      <c r="F22" s="206"/>
      <c r="G22" s="206"/>
      <c r="H22" s="206"/>
      <c r="I22" s="206"/>
      <c r="J22" s="207"/>
      <c r="K22" s="207"/>
      <c r="L22" s="206"/>
      <c r="M22" s="206"/>
      <c r="N22" s="206"/>
      <c r="O22" s="208"/>
      <c r="P22" s="208"/>
      <c r="R22" s="215"/>
    </row>
    <row r="23" spans="1:18" x14ac:dyDescent="0.3">
      <c r="A23" s="195">
        <v>2</v>
      </c>
      <c r="B23" s="189" t="s">
        <v>242</v>
      </c>
      <c r="C23" s="189"/>
      <c r="D23" s="189"/>
      <c r="E23" s="189"/>
      <c r="F23" s="201" t="s">
        <v>303</v>
      </c>
      <c r="G23" s="201"/>
      <c r="H23" s="201"/>
      <c r="I23" s="203"/>
      <c r="J23" s="201"/>
      <c r="K23" s="201"/>
      <c r="L23" s="201"/>
      <c r="M23" s="201"/>
      <c r="N23" s="201"/>
      <c r="O23" s="203"/>
      <c r="P23" s="203"/>
      <c r="Q23" s="192" t="s">
        <v>244</v>
      </c>
      <c r="R23" s="399">
        <f>'PA 4'!Q31</f>
        <v>0</v>
      </c>
    </row>
    <row r="24" spans="1:18" ht="3" customHeight="1" x14ac:dyDescent="0.3">
      <c r="A24" s="195"/>
      <c r="B24" s="189"/>
      <c r="C24" s="189"/>
      <c r="D24" s="189"/>
      <c r="E24" s="189"/>
      <c r="F24" s="206"/>
      <c r="G24" s="206"/>
      <c r="H24" s="206"/>
      <c r="I24" s="208"/>
      <c r="J24" s="206"/>
      <c r="K24" s="206"/>
      <c r="L24" s="206"/>
      <c r="M24" s="206"/>
      <c r="N24" s="206"/>
      <c r="O24" s="208"/>
      <c r="P24" s="208"/>
      <c r="Q24" s="192"/>
      <c r="R24" s="215"/>
    </row>
    <row r="25" spans="1:18" x14ac:dyDescent="0.3">
      <c r="A25" s="195"/>
      <c r="B25" s="189" t="s">
        <v>245</v>
      </c>
      <c r="C25" s="189"/>
      <c r="D25" s="189"/>
      <c r="E25" s="189"/>
      <c r="F25" s="201" t="s">
        <v>304</v>
      </c>
      <c r="G25" s="201"/>
      <c r="H25" s="201"/>
      <c r="I25" s="201"/>
      <c r="J25" s="201"/>
      <c r="K25" s="201"/>
      <c r="L25" s="201"/>
      <c r="M25" s="201"/>
      <c r="N25" s="201"/>
      <c r="O25" s="203"/>
      <c r="P25" s="203"/>
      <c r="Q25" s="192" t="s">
        <v>244</v>
      </c>
      <c r="R25" s="399"/>
    </row>
    <row r="26" spans="1:18" ht="3" customHeight="1" x14ac:dyDescent="0.3">
      <c r="A26" s="195"/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Q26" s="192"/>
      <c r="R26" s="216"/>
    </row>
    <row r="27" spans="1:18" x14ac:dyDescent="0.3">
      <c r="A27" s="195"/>
      <c r="B27" s="189" t="s">
        <v>247</v>
      </c>
      <c r="C27" s="189"/>
      <c r="D27" s="189"/>
      <c r="E27" s="189"/>
      <c r="F27" s="189" t="s">
        <v>305</v>
      </c>
      <c r="G27" s="189"/>
      <c r="H27" s="189"/>
      <c r="I27" s="189"/>
      <c r="J27" s="553"/>
      <c r="K27" s="553"/>
      <c r="L27" s="553"/>
      <c r="M27" s="553"/>
      <c r="N27" s="553"/>
      <c r="O27" s="553"/>
      <c r="P27" s="553"/>
      <c r="Q27" s="192" t="s">
        <v>244</v>
      </c>
      <c r="R27" s="399"/>
    </row>
    <row r="28" spans="1:18" ht="9.75" customHeight="1" x14ac:dyDescent="0.3">
      <c r="A28" s="195"/>
      <c r="B28" s="189"/>
      <c r="C28" s="189"/>
      <c r="D28" s="189"/>
      <c r="E28" s="189"/>
      <c r="F28" s="191" t="s">
        <v>249</v>
      </c>
      <c r="G28" s="191"/>
      <c r="H28" s="191"/>
      <c r="I28" s="189"/>
      <c r="J28" s="189"/>
      <c r="K28" s="189"/>
      <c r="L28" s="189"/>
      <c r="M28" s="189"/>
      <c r="N28" s="189"/>
      <c r="R28" s="217"/>
    </row>
    <row r="29" spans="1:18" x14ac:dyDescent="0.3">
      <c r="A29" s="195">
        <v>3</v>
      </c>
      <c r="B29" s="189" t="s">
        <v>250</v>
      </c>
      <c r="C29" s="189"/>
      <c r="D29" s="189"/>
      <c r="E29" s="189"/>
      <c r="F29" s="189"/>
      <c r="G29" s="189"/>
      <c r="H29" s="189"/>
      <c r="I29" s="189"/>
      <c r="J29" s="189"/>
      <c r="K29" s="191" t="s">
        <v>249</v>
      </c>
      <c r="M29" s="189"/>
      <c r="N29" s="189"/>
      <c r="Q29" s="192" t="s">
        <v>244</v>
      </c>
      <c r="R29" s="217"/>
    </row>
    <row r="30" spans="1:18" x14ac:dyDescent="0.3">
      <c r="A30" s="195"/>
      <c r="B30" s="553"/>
      <c r="C30" s="553"/>
      <c r="D30" s="553"/>
      <c r="E30" s="553"/>
      <c r="F30" s="553"/>
      <c r="G30" s="553"/>
      <c r="H30" s="553"/>
      <c r="I30" s="553"/>
      <c r="J30" s="553"/>
      <c r="K30" s="553"/>
      <c r="L30" s="553"/>
      <c r="M30" s="553"/>
      <c r="N30" s="553"/>
      <c r="O30" s="553"/>
      <c r="P30" s="553"/>
      <c r="R30" s="399"/>
    </row>
    <row r="31" spans="1:18" ht="3" customHeight="1" x14ac:dyDescent="0.3">
      <c r="A31" s="195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R31" s="215"/>
    </row>
    <row r="32" spans="1:18" x14ac:dyDescent="0.3">
      <c r="A32" s="195">
        <v>4</v>
      </c>
      <c r="B32" s="189" t="s">
        <v>251</v>
      </c>
      <c r="C32" s="189"/>
      <c r="D32" s="189"/>
      <c r="E32" s="189"/>
      <c r="F32" s="189"/>
      <c r="G32" s="189"/>
      <c r="H32" s="189"/>
      <c r="I32" s="553"/>
      <c r="J32" s="553"/>
      <c r="K32" s="553"/>
      <c r="L32" s="553"/>
      <c r="M32" s="553"/>
      <c r="N32" s="553"/>
      <c r="O32" s="553"/>
      <c r="P32" s="553"/>
      <c r="Q32" s="192" t="s">
        <v>244</v>
      </c>
      <c r="R32" s="399"/>
    </row>
    <row r="33" spans="1:18" ht="9" customHeight="1" x14ac:dyDescent="0.3">
      <c r="A33" s="195"/>
      <c r="B33" s="191" t="s">
        <v>249</v>
      </c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R33" s="217"/>
    </row>
    <row r="34" spans="1:18" x14ac:dyDescent="0.3">
      <c r="A34" s="195">
        <v>5</v>
      </c>
      <c r="B34" s="201" t="s">
        <v>252</v>
      </c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3"/>
      <c r="P34" s="203"/>
      <c r="Q34" s="192" t="s">
        <v>244</v>
      </c>
      <c r="R34" s="399"/>
    </row>
    <row r="35" spans="1:18" ht="3" customHeight="1" x14ac:dyDescent="0.3">
      <c r="A35" s="195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Q35" s="192"/>
      <c r="R35" s="216"/>
    </row>
    <row r="36" spans="1:18" x14ac:dyDescent="0.3">
      <c r="A36" s="195">
        <v>6</v>
      </c>
      <c r="B36" s="201" t="s">
        <v>253</v>
      </c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3"/>
      <c r="P36" s="203"/>
      <c r="Q36" s="192" t="s">
        <v>244</v>
      </c>
      <c r="R36" s="399"/>
    </row>
    <row r="37" spans="1:18" ht="3" customHeight="1" x14ac:dyDescent="0.3">
      <c r="A37" s="195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Q37" s="192"/>
      <c r="R37" s="216"/>
    </row>
    <row r="38" spans="1:18" x14ac:dyDescent="0.3">
      <c r="A38" s="195">
        <v>7</v>
      </c>
      <c r="B38" s="189" t="s">
        <v>254</v>
      </c>
      <c r="C38" s="189"/>
      <c r="D38" s="189"/>
      <c r="E38" s="189"/>
      <c r="F38" s="189"/>
      <c r="G38" s="189"/>
      <c r="H38" s="189"/>
      <c r="I38" s="553"/>
      <c r="J38" s="553"/>
      <c r="K38" s="553"/>
      <c r="L38" s="553"/>
      <c r="M38" s="553"/>
      <c r="N38" s="553"/>
      <c r="O38" s="553"/>
      <c r="P38" s="553"/>
      <c r="Q38" s="192" t="s">
        <v>244</v>
      </c>
      <c r="R38" s="399"/>
    </row>
    <row r="39" spans="1:18" ht="9" customHeight="1" x14ac:dyDescent="0.3">
      <c r="A39" s="195"/>
      <c r="B39" s="191" t="s">
        <v>249</v>
      </c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R39" s="217"/>
    </row>
    <row r="40" spans="1:18" x14ac:dyDescent="0.3">
      <c r="A40" s="195">
        <v>8</v>
      </c>
      <c r="B40" s="201" t="s">
        <v>255</v>
      </c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3"/>
      <c r="P40" s="203"/>
      <c r="Q40" s="192" t="s">
        <v>256</v>
      </c>
      <c r="R40" s="399">
        <f>SUM(R21:R39)</f>
        <v>0</v>
      </c>
    </row>
    <row r="41" spans="1:18" ht="3" customHeight="1" x14ac:dyDescent="0.3">
      <c r="A41" s="195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Q41" s="192"/>
      <c r="R41" s="216"/>
    </row>
    <row r="42" spans="1:18" x14ac:dyDescent="0.3">
      <c r="A42" s="195">
        <v>9</v>
      </c>
      <c r="B42" s="201" t="s">
        <v>257</v>
      </c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3"/>
      <c r="P42" s="203"/>
      <c r="Q42" s="192" t="s">
        <v>44</v>
      </c>
      <c r="R42" s="399">
        <f>('PA 4'!Q40+'PA 4'!Q41+'PA 4'!Q42)*-1</f>
        <v>0</v>
      </c>
    </row>
    <row r="43" spans="1:18" ht="3" customHeight="1" x14ac:dyDescent="0.3">
      <c r="A43" s="195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Q43" s="192"/>
      <c r="R43" s="216"/>
    </row>
    <row r="44" spans="1:18" x14ac:dyDescent="0.3">
      <c r="A44" s="195">
        <v>10</v>
      </c>
      <c r="B44" s="189" t="s">
        <v>258</v>
      </c>
      <c r="C44" s="189"/>
      <c r="D44" s="189"/>
      <c r="E44" s="189" t="s">
        <v>259</v>
      </c>
      <c r="F44" s="189"/>
      <c r="G44" s="189"/>
      <c r="H44" s="201" t="s">
        <v>306</v>
      </c>
      <c r="I44" s="203"/>
      <c r="J44" s="201"/>
      <c r="K44" s="201"/>
      <c r="L44" s="201"/>
      <c r="M44" s="201"/>
      <c r="N44" s="201"/>
      <c r="O44" s="203"/>
      <c r="P44" s="203"/>
      <c r="Q44" s="192" t="s">
        <v>44</v>
      </c>
      <c r="R44" s="399">
        <f>'PA 4'!Q44*-1</f>
        <v>0</v>
      </c>
    </row>
    <row r="45" spans="1:18" x14ac:dyDescent="0.3">
      <c r="A45" s="195"/>
      <c r="B45" s="189" t="s">
        <v>261</v>
      </c>
      <c r="C45" s="189"/>
      <c r="D45" s="189"/>
      <c r="E45" s="189" t="s">
        <v>307</v>
      </c>
      <c r="F45" s="189"/>
      <c r="G45" s="189"/>
      <c r="H45" s="189"/>
      <c r="J45" s="189"/>
      <c r="K45" s="189"/>
      <c r="L45" s="189"/>
      <c r="M45" s="189"/>
      <c r="N45" s="189"/>
      <c r="R45" s="217"/>
    </row>
    <row r="46" spans="1:18" x14ac:dyDescent="0.3">
      <c r="A46" s="195"/>
      <c r="B46" s="189" t="s">
        <v>263</v>
      </c>
      <c r="C46" s="189"/>
      <c r="E46" s="189" t="s">
        <v>308</v>
      </c>
      <c r="H46" s="201" t="s">
        <v>309</v>
      </c>
      <c r="I46" s="203"/>
      <c r="J46" s="203"/>
      <c r="K46" s="203"/>
      <c r="L46" s="203"/>
      <c r="M46" s="203"/>
      <c r="N46" s="203"/>
      <c r="O46" s="203"/>
      <c r="P46" s="203"/>
      <c r="Q46" s="192" t="s">
        <v>44</v>
      </c>
      <c r="R46" s="399"/>
    </row>
    <row r="47" spans="1:18" ht="3" customHeight="1" x14ac:dyDescent="0.3">
      <c r="A47" s="195"/>
      <c r="B47" s="189"/>
      <c r="C47" s="189"/>
      <c r="E47" s="189"/>
      <c r="H47" s="189"/>
      <c r="Q47" s="192"/>
      <c r="R47" s="216"/>
    </row>
    <row r="48" spans="1:18" x14ac:dyDescent="0.3">
      <c r="A48" s="195">
        <v>11</v>
      </c>
      <c r="B48" s="204" t="s">
        <v>266</v>
      </c>
      <c r="C48" s="201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3"/>
      <c r="O48" s="203"/>
      <c r="P48" s="203"/>
      <c r="Q48" s="192" t="s">
        <v>256</v>
      </c>
      <c r="R48" s="399">
        <f>R40-SUM(R42:R46)</f>
        <v>0</v>
      </c>
    </row>
    <row r="49" spans="1:18" ht="9" customHeight="1" x14ac:dyDescent="0.3">
      <c r="A49" s="195"/>
      <c r="B49" s="196" t="s">
        <v>267</v>
      </c>
      <c r="C49" s="189"/>
      <c r="R49" s="217"/>
    </row>
    <row r="50" spans="1:18" x14ac:dyDescent="0.3">
      <c r="A50" s="195">
        <v>12</v>
      </c>
      <c r="B50" s="201" t="s">
        <v>268</v>
      </c>
      <c r="C50" s="201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R50" s="399">
        <f>'PA 4'!Q46*-1</f>
        <v>0</v>
      </c>
    </row>
    <row r="51" spans="1:18" x14ac:dyDescent="0.3">
      <c r="A51" s="195">
        <v>13</v>
      </c>
      <c r="B51" s="189" t="s">
        <v>269</v>
      </c>
      <c r="C51" s="189"/>
      <c r="R51" s="218"/>
    </row>
    <row r="52" spans="1:18" ht="9" customHeight="1" x14ac:dyDescent="0.3">
      <c r="B52" s="191" t="s">
        <v>270</v>
      </c>
      <c r="R52" s="218"/>
    </row>
    <row r="53" spans="1:18" ht="13.5" customHeight="1" x14ac:dyDescent="0.3">
      <c r="A53" s="562">
        <v>13.1</v>
      </c>
      <c r="B53" s="562"/>
      <c r="C53" s="564" t="s">
        <v>271</v>
      </c>
      <c r="D53" s="197" t="s">
        <v>272</v>
      </c>
      <c r="E53" s="201" t="s">
        <v>273</v>
      </c>
      <c r="F53" s="201"/>
      <c r="G53" s="201"/>
      <c r="H53" s="201"/>
      <c r="I53" s="203"/>
      <c r="J53" s="203"/>
      <c r="K53" s="203"/>
      <c r="L53" s="203"/>
      <c r="M53" s="203"/>
      <c r="N53" s="203"/>
      <c r="O53" s="203"/>
      <c r="P53" s="395" t="s">
        <v>216</v>
      </c>
      <c r="R53" s="401"/>
    </row>
    <row r="54" spans="1:18" ht="3" customHeight="1" x14ac:dyDescent="0.3">
      <c r="A54" s="210"/>
      <c r="B54" s="210"/>
      <c r="C54" s="564"/>
      <c r="D54" s="197"/>
      <c r="E54" s="189"/>
      <c r="F54" s="189"/>
      <c r="G54" s="189"/>
      <c r="H54" s="189"/>
      <c r="R54" s="219"/>
    </row>
    <row r="55" spans="1:18" x14ac:dyDescent="0.3">
      <c r="A55" s="195"/>
      <c r="B55" s="195"/>
      <c r="C55" s="564"/>
      <c r="D55" s="198" t="s">
        <v>274</v>
      </c>
      <c r="E55" s="189" t="s">
        <v>275</v>
      </c>
      <c r="F55" s="189"/>
      <c r="G55" s="189"/>
      <c r="H55" s="189"/>
      <c r="I55" s="554"/>
      <c r="J55" s="554"/>
      <c r="K55" s="554"/>
      <c r="L55" s="554"/>
      <c r="M55" s="554"/>
      <c r="N55" s="554"/>
      <c r="O55" s="554"/>
      <c r="P55" s="554"/>
      <c r="R55" s="401"/>
    </row>
    <row r="56" spans="1:18" ht="9" customHeight="1" x14ac:dyDescent="0.3">
      <c r="A56" s="195"/>
      <c r="B56" s="195"/>
      <c r="C56" s="564"/>
      <c r="D56" s="199"/>
      <c r="E56" s="194" t="s">
        <v>249</v>
      </c>
      <c r="R56" s="218"/>
    </row>
    <row r="57" spans="1:18" x14ac:dyDescent="0.3">
      <c r="A57" s="563">
        <v>13.2</v>
      </c>
      <c r="B57" s="563"/>
      <c r="C57" s="189" t="s">
        <v>276</v>
      </c>
      <c r="D57" s="198" t="s">
        <v>277</v>
      </c>
      <c r="E57" s="201" t="s">
        <v>278</v>
      </c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R57" s="401"/>
    </row>
    <row r="58" spans="1:18" ht="3" customHeight="1" x14ac:dyDescent="0.3">
      <c r="A58" s="211"/>
      <c r="B58" s="211"/>
      <c r="C58" s="189"/>
      <c r="D58" s="198"/>
      <c r="E58" s="189"/>
      <c r="R58" s="220"/>
    </row>
    <row r="59" spans="1:18" x14ac:dyDescent="0.3">
      <c r="A59" s="195"/>
      <c r="B59" s="195"/>
      <c r="C59" s="189" t="s">
        <v>279</v>
      </c>
      <c r="D59" s="198" t="s">
        <v>280</v>
      </c>
      <c r="E59" s="201" t="s">
        <v>281</v>
      </c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R59" s="401"/>
    </row>
    <row r="60" spans="1:18" ht="3" customHeight="1" x14ac:dyDescent="0.3">
      <c r="A60" s="195"/>
      <c r="B60" s="195"/>
      <c r="C60" s="189"/>
      <c r="D60" s="198"/>
      <c r="E60" s="189"/>
      <c r="I60" s="208"/>
      <c r="J60" s="208"/>
      <c r="K60" s="208"/>
      <c r="L60" s="208"/>
      <c r="M60" s="208"/>
      <c r="N60" s="208"/>
      <c r="O60" s="208"/>
      <c r="P60" s="208"/>
      <c r="R60" s="220"/>
    </row>
    <row r="61" spans="1:18" x14ac:dyDescent="0.3">
      <c r="A61" s="195"/>
      <c r="B61" s="195"/>
      <c r="C61" s="189" t="s">
        <v>282</v>
      </c>
      <c r="D61" s="198" t="s">
        <v>283</v>
      </c>
      <c r="E61" s="189" t="s">
        <v>275</v>
      </c>
      <c r="I61" s="554"/>
      <c r="J61" s="554"/>
      <c r="K61" s="554"/>
      <c r="L61" s="554"/>
      <c r="M61" s="554"/>
      <c r="N61" s="554"/>
      <c r="O61" s="554"/>
      <c r="P61" s="554"/>
      <c r="R61" s="401"/>
    </row>
    <row r="62" spans="1:18" ht="9" customHeight="1" x14ac:dyDescent="0.3">
      <c r="B62" s="189"/>
      <c r="C62" s="189"/>
      <c r="E62" s="194" t="s">
        <v>249</v>
      </c>
      <c r="R62" s="218"/>
    </row>
    <row r="63" spans="1:18" x14ac:dyDescent="0.3">
      <c r="A63" s="562">
        <v>13.3</v>
      </c>
      <c r="B63" s="562"/>
      <c r="C63" s="201" t="s">
        <v>284</v>
      </c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R63" s="401"/>
    </row>
    <row r="64" spans="1:18" ht="3" customHeight="1" x14ac:dyDescent="0.3">
      <c r="A64" s="210"/>
      <c r="B64" s="210"/>
      <c r="C64" s="189"/>
    </row>
    <row r="65" spans="1:18" x14ac:dyDescent="0.3">
      <c r="A65" s="195">
        <v>14</v>
      </c>
      <c r="B65" s="189" t="s">
        <v>285</v>
      </c>
      <c r="C65" s="189"/>
      <c r="F65" s="189" t="s">
        <v>286</v>
      </c>
      <c r="G65" s="189"/>
      <c r="H65" s="189"/>
      <c r="I65" s="554"/>
      <c r="J65" s="554"/>
      <c r="K65" s="554"/>
      <c r="L65" s="554"/>
      <c r="M65" s="554"/>
      <c r="N65" s="554"/>
      <c r="O65" s="554"/>
      <c r="P65" s="554"/>
      <c r="Q65" s="554"/>
      <c r="R65" s="554"/>
    </row>
    <row r="66" spans="1:18" ht="3" customHeight="1" x14ac:dyDescent="0.3">
      <c r="A66" s="195"/>
      <c r="B66" s="189"/>
      <c r="C66" s="189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2"/>
      <c r="O66" s="212"/>
      <c r="P66" s="212"/>
      <c r="Q66" s="212"/>
      <c r="R66" s="212"/>
    </row>
    <row r="67" spans="1:18" x14ac:dyDescent="0.3">
      <c r="A67" s="195"/>
      <c r="B67" s="189" t="s">
        <v>287</v>
      </c>
      <c r="C67" s="189"/>
      <c r="F67" s="189" t="s">
        <v>288</v>
      </c>
      <c r="G67" s="189"/>
      <c r="H67" s="189"/>
      <c r="I67" s="554"/>
      <c r="J67" s="554"/>
      <c r="K67" s="554"/>
      <c r="L67" s="554"/>
      <c r="M67" s="554"/>
      <c r="N67" s="554"/>
      <c r="O67" s="554"/>
      <c r="P67" s="554"/>
      <c r="Q67" s="554"/>
      <c r="R67" s="554"/>
    </row>
    <row r="68" spans="1:18" ht="3" customHeight="1" x14ac:dyDescent="0.3">
      <c r="A68" s="195"/>
      <c r="B68" s="189"/>
      <c r="C68" s="189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2"/>
      <c r="Q68" s="212"/>
      <c r="R68" s="212"/>
    </row>
    <row r="69" spans="1:18" x14ac:dyDescent="0.3">
      <c r="A69" s="195"/>
      <c r="B69" s="189" t="s">
        <v>289</v>
      </c>
      <c r="C69" s="189"/>
      <c r="F69" s="189" t="s">
        <v>290</v>
      </c>
      <c r="G69" s="189"/>
      <c r="H69" s="189"/>
      <c r="I69" s="554"/>
      <c r="J69" s="554"/>
      <c r="K69" s="554"/>
      <c r="L69" s="554"/>
      <c r="M69" s="554"/>
      <c r="N69" s="554"/>
      <c r="O69" s="554"/>
      <c r="P69" s="554"/>
      <c r="Q69" s="554"/>
      <c r="R69" s="554"/>
    </row>
    <row r="70" spans="1:18" ht="3" customHeight="1" x14ac:dyDescent="0.3">
      <c r="A70" s="195"/>
      <c r="B70" s="189"/>
      <c r="C70" s="189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2"/>
      <c r="O70" s="212"/>
      <c r="P70" s="212"/>
      <c r="Q70" s="212"/>
      <c r="R70" s="212"/>
    </row>
    <row r="71" spans="1:18" x14ac:dyDescent="0.3">
      <c r="A71" s="195">
        <v>15</v>
      </c>
      <c r="B71" s="189" t="s">
        <v>291</v>
      </c>
      <c r="C71" s="189"/>
      <c r="D71" s="556" t="str">
        <f>IF('PA 4'!L7&lt;100%,"Taux d'occupation "&amp;('PA 4'!L7+'PA 4'!L12)*100&amp;"%","")</f>
        <v>Taux d'occupation 0%</v>
      </c>
      <c r="E71" s="556"/>
      <c r="F71" s="556"/>
      <c r="G71" s="556"/>
      <c r="H71" s="556"/>
      <c r="I71" s="556"/>
      <c r="J71" s="556"/>
      <c r="K71" s="556"/>
      <c r="L71" s="556"/>
      <c r="M71" s="556"/>
      <c r="N71" s="556"/>
      <c r="O71" s="556"/>
      <c r="P71" s="556"/>
      <c r="Q71" s="556"/>
      <c r="R71" s="556"/>
    </row>
    <row r="72" spans="1:18" ht="3" customHeight="1" x14ac:dyDescent="0.3">
      <c r="A72" s="195"/>
      <c r="B72" s="189"/>
      <c r="C72" s="189"/>
      <c r="D72" s="223"/>
      <c r="E72" s="223"/>
      <c r="F72" s="223"/>
      <c r="G72" s="223"/>
      <c r="H72" s="223"/>
      <c r="I72" s="223"/>
      <c r="J72" s="223"/>
      <c r="K72" s="223"/>
      <c r="L72" s="223"/>
      <c r="M72" s="223"/>
      <c r="N72" s="223"/>
      <c r="O72" s="223"/>
      <c r="P72" s="223"/>
      <c r="Q72" s="223"/>
      <c r="R72" s="223"/>
    </row>
    <row r="73" spans="1:18" x14ac:dyDescent="0.3">
      <c r="A73" s="195"/>
      <c r="B73" s="189" t="s">
        <v>292</v>
      </c>
      <c r="C73" s="189"/>
      <c r="D73" s="557"/>
      <c r="E73" s="557"/>
      <c r="F73" s="557"/>
      <c r="G73" s="557"/>
      <c r="H73" s="557"/>
      <c r="I73" s="557"/>
      <c r="J73" s="557"/>
      <c r="K73" s="557"/>
      <c r="L73" s="557"/>
      <c r="M73" s="557"/>
      <c r="N73" s="557"/>
      <c r="O73" s="557"/>
      <c r="P73" s="557"/>
      <c r="Q73" s="557"/>
      <c r="R73" s="557"/>
    </row>
    <row r="74" spans="1:18" ht="3" customHeight="1" x14ac:dyDescent="0.3">
      <c r="A74" s="195"/>
      <c r="B74" s="189"/>
      <c r="C74" s="189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</row>
    <row r="75" spans="1:18" x14ac:dyDescent="0.3">
      <c r="A75" s="195"/>
      <c r="B75" s="189" t="s">
        <v>293</v>
      </c>
      <c r="C75" s="189"/>
      <c r="D75" s="557"/>
      <c r="E75" s="557"/>
      <c r="F75" s="557"/>
      <c r="G75" s="557"/>
      <c r="H75" s="557"/>
      <c r="I75" s="557"/>
      <c r="J75" s="557"/>
      <c r="K75" s="557"/>
      <c r="L75" s="557"/>
      <c r="M75" s="557"/>
      <c r="N75" s="557"/>
      <c r="O75" s="557"/>
      <c r="P75" s="557"/>
      <c r="Q75" s="557"/>
      <c r="R75" s="557"/>
    </row>
    <row r="76" spans="1:18" x14ac:dyDescent="0.3">
      <c r="A76" s="195"/>
      <c r="B76" s="189"/>
      <c r="C76" s="189"/>
    </row>
    <row r="77" spans="1:18" x14ac:dyDescent="0.3">
      <c r="A77" s="195" t="s">
        <v>294</v>
      </c>
      <c r="B77" s="189" t="s">
        <v>295</v>
      </c>
      <c r="C77" s="189"/>
      <c r="F77" s="189" t="s">
        <v>296</v>
      </c>
      <c r="G77" s="189"/>
      <c r="M77" s="565">
        <f>'Attestation du salaire (ord.)'!A8:A8</f>
        <v>0</v>
      </c>
      <c r="N77" s="565"/>
      <c r="O77" s="565"/>
      <c r="P77" s="565"/>
      <c r="Q77" s="565"/>
      <c r="R77" s="565"/>
    </row>
    <row r="78" spans="1:18" ht="9" customHeight="1" x14ac:dyDescent="0.3">
      <c r="B78" s="189"/>
      <c r="C78" s="189"/>
      <c r="F78" s="191" t="s">
        <v>297</v>
      </c>
      <c r="G78" s="191"/>
      <c r="M78" s="221"/>
      <c r="N78" s="221"/>
      <c r="O78" s="221"/>
      <c r="P78" s="221"/>
      <c r="Q78" s="221"/>
      <c r="R78" s="221"/>
    </row>
    <row r="79" spans="1:18" x14ac:dyDescent="0.3">
      <c r="B79" s="555"/>
      <c r="C79" s="555"/>
      <c r="D79" s="555"/>
      <c r="F79" s="189" t="s">
        <v>298</v>
      </c>
      <c r="G79" s="189"/>
      <c r="M79" s="498">
        <f>'Attestation du salaire (ord.)'!A9:A9</f>
        <v>0</v>
      </c>
      <c r="N79" s="498"/>
      <c r="O79" s="498"/>
      <c r="P79" s="498"/>
      <c r="Q79" s="498"/>
      <c r="R79" s="498"/>
    </row>
    <row r="80" spans="1:18" ht="9" customHeight="1" x14ac:dyDescent="0.3">
      <c r="B80" s="189"/>
      <c r="C80" s="189"/>
      <c r="F80" s="191" t="s">
        <v>299</v>
      </c>
      <c r="G80" s="191"/>
      <c r="M80" s="221"/>
      <c r="N80" s="221"/>
      <c r="O80" s="221"/>
      <c r="P80" s="221"/>
      <c r="Q80" s="221"/>
      <c r="R80" s="221"/>
    </row>
    <row r="81" spans="2:18" ht="13.5" customHeight="1" x14ac:dyDescent="0.3">
      <c r="B81" s="189"/>
      <c r="C81" s="189"/>
      <c r="F81" s="189" t="s">
        <v>300</v>
      </c>
      <c r="G81" s="189"/>
      <c r="M81" s="565">
        <f>'Attestation du salaire (ord.)'!A10:A10</f>
        <v>0</v>
      </c>
      <c r="N81" s="565"/>
      <c r="O81" s="565"/>
      <c r="P81" s="565"/>
      <c r="Q81" s="565"/>
      <c r="R81" s="565"/>
    </row>
    <row r="82" spans="2:18" ht="9" customHeight="1" x14ac:dyDescent="0.3">
      <c r="B82" s="189"/>
      <c r="C82" s="189"/>
      <c r="F82" s="191" t="s">
        <v>301</v>
      </c>
      <c r="G82" s="191"/>
      <c r="M82" s="222"/>
      <c r="N82" s="222"/>
      <c r="O82" s="222"/>
      <c r="P82" s="222"/>
      <c r="Q82" s="222"/>
      <c r="R82" s="222"/>
    </row>
    <row r="83" spans="2:18" ht="13.5" customHeight="1" x14ac:dyDescent="0.3">
      <c r="B83" s="189"/>
      <c r="C83" s="189"/>
      <c r="I83" s="189"/>
      <c r="M83" s="565" t="str">
        <f>'CS 1'!M83:R83</f>
        <v>Entrez le numéro de téléphone ici</v>
      </c>
      <c r="N83" s="565"/>
      <c r="O83" s="565"/>
      <c r="P83" s="565"/>
      <c r="Q83" s="565"/>
      <c r="R83" s="565"/>
    </row>
    <row r="84" spans="2:18" x14ac:dyDescent="0.3">
      <c r="B84" s="189"/>
      <c r="C84" s="189"/>
    </row>
  </sheetData>
  <sheetProtection algorithmName="SHA-512" hashValue="HrtPidYmoI7bhsjtcUgZ4tC9dAPUSxBostwNj3iYuXryOGBiQ0PZcHA2AtF0PPGFa5TRUDwVMBkJ+hYJVAwV1A==" saltValue="Ok+BYFDVfeova1R7kzit/g==" spinCount="100000" sheet="1" objects="1" scenarios="1"/>
  <mergeCells count="28">
    <mergeCell ref="O5:R6"/>
    <mergeCell ref="B7:C7"/>
    <mergeCell ref="I7:J7"/>
    <mergeCell ref="O7:R8"/>
    <mergeCell ref="H5:K5"/>
    <mergeCell ref="B5:F5"/>
    <mergeCell ref="I69:R69"/>
    <mergeCell ref="R18:R20"/>
    <mergeCell ref="J27:P27"/>
    <mergeCell ref="B30:P30"/>
    <mergeCell ref="I32:P32"/>
    <mergeCell ref="I38:P38"/>
    <mergeCell ref="A53:B53"/>
    <mergeCell ref="C53:C56"/>
    <mergeCell ref="I55:P55"/>
    <mergeCell ref="A57:B57"/>
    <mergeCell ref="I61:P61"/>
    <mergeCell ref="A63:B63"/>
    <mergeCell ref="I65:R65"/>
    <mergeCell ref="I67:R67"/>
    <mergeCell ref="M83:R83"/>
    <mergeCell ref="D71:R71"/>
    <mergeCell ref="D73:R73"/>
    <mergeCell ref="D75:R75"/>
    <mergeCell ref="M77:R77"/>
    <mergeCell ref="M79:R79"/>
    <mergeCell ref="M81:R81"/>
    <mergeCell ref="B79:D79"/>
  </mergeCells>
  <pageMargins left="0.39370078740157483" right="7.874015748031496E-2" top="0.39370078740157483" bottom="0.39370078740157483" header="0.31496062992125984" footer="0.31496062992125984"/>
  <pageSetup paperSize="9" scale="95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8" tint="0.59999389629810485"/>
    <pageSetUpPr fitToPage="1"/>
  </sheetPr>
  <dimension ref="A1:R84"/>
  <sheetViews>
    <sheetView showGridLines="0" showZeros="0" zoomScaleNormal="100" workbookViewId="0">
      <selection activeCell="C1" sqref="C1"/>
    </sheetView>
  </sheetViews>
  <sheetFormatPr baseColWidth="10" defaultColWidth="11.453125" defaultRowHeight="13" x14ac:dyDescent="0.3"/>
  <cols>
    <col min="1" max="1" width="2.453125" style="189" bestFit="1" customWidth="1"/>
    <col min="2" max="2" width="3.26953125" style="190" customWidth="1"/>
    <col min="3" max="3" width="12" style="190" customWidth="1"/>
    <col min="4" max="4" width="7.453125" style="190" customWidth="1"/>
    <col min="5" max="5" width="1.81640625" style="190" customWidth="1"/>
    <col min="6" max="6" width="10.26953125" style="190" customWidth="1"/>
    <col min="7" max="7" width="1.7265625" style="190" customWidth="1"/>
    <col min="8" max="9" width="5.7265625" style="190" customWidth="1"/>
    <col min="10" max="11" width="6.26953125" style="190" customWidth="1"/>
    <col min="12" max="12" width="4" style="190" customWidth="1"/>
    <col min="13" max="13" width="2.1796875" style="190" bestFit="1" customWidth="1"/>
    <col min="14" max="14" width="2.7265625" style="190" customWidth="1"/>
    <col min="15" max="15" width="14.7265625" style="190" customWidth="1"/>
    <col min="16" max="16" width="2.7265625" style="190" customWidth="1"/>
    <col min="17" max="17" width="1.7265625" style="190" customWidth="1"/>
    <col min="18" max="18" width="14.1796875" style="190" customWidth="1"/>
    <col min="19" max="16384" width="11.453125" style="190"/>
  </cols>
  <sheetData>
    <row r="1" spans="1:18" ht="17" x14ac:dyDescent="0.5">
      <c r="A1" s="195" t="s">
        <v>215</v>
      </c>
      <c r="B1" s="395" t="s">
        <v>216</v>
      </c>
      <c r="C1" s="214" t="s">
        <v>217</v>
      </c>
    </row>
    <row r="2" spans="1:18" ht="3" customHeight="1" x14ac:dyDescent="0.5">
      <c r="A2" s="195"/>
      <c r="C2" s="214"/>
    </row>
    <row r="3" spans="1:18" ht="17" x14ac:dyDescent="0.5">
      <c r="A3" s="195" t="s">
        <v>218</v>
      </c>
      <c r="B3" s="396"/>
      <c r="C3" s="214" t="s">
        <v>219</v>
      </c>
    </row>
    <row r="4" spans="1:18" ht="9" customHeight="1" x14ac:dyDescent="0.3">
      <c r="A4" s="195"/>
      <c r="C4" s="199"/>
    </row>
    <row r="5" spans="1:18" ht="13.5" customHeight="1" x14ac:dyDescent="0.3">
      <c r="A5" s="195" t="s">
        <v>220</v>
      </c>
      <c r="B5" s="557" t="str">
        <f>IF('PA 5'!$F$6="","",'PA 5'!$F$6)</f>
        <v/>
      </c>
      <c r="C5" s="557"/>
      <c r="D5" s="557"/>
      <c r="E5" s="557"/>
      <c r="F5" s="557"/>
      <c r="G5" s="375"/>
      <c r="H5" s="558" cm="1">
        <f t="array" ref="H5">'PA 5'!F7:F7</f>
        <v>0</v>
      </c>
      <c r="I5" s="558"/>
      <c r="J5" s="558"/>
      <c r="K5" s="558"/>
      <c r="M5" s="200" t="s">
        <v>221</v>
      </c>
      <c r="N5" s="396"/>
      <c r="O5" s="560" t="s">
        <v>222</v>
      </c>
      <c r="P5" s="560"/>
      <c r="Q5" s="560"/>
      <c r="R5" s="560"/>
    </row>
    <row r="6" spans="1:18" x14ac:dyDescent="0.3">
      <c r="A6" s="195"/>
      <c r="B6" s="194" t="s">
        <v>223</v>
      </c>
      <c r="C6" s="205"/>
      <c r="D6" s="194"/>
      <c r="E6" s="205"/>
      <c r="H6" s="194" t="s">
        <v>224</v>
      </c>
      <c r="M6" s="200"/>
      <c r="O6" s="560"/>
      <c r="P6" s="560"/>
      <c r="Q6" s="560"/>
      <c r="R6" s="560"/>
    </row>
    <row r="7" spans="1:18" ht="13.5" customHeight="1" x14ac:dyDescent="0.3">
      <c r="A7" s="195" t="s">
        <v>225</v>
      </c>
      <c r="B7" s="559">
        <f>'PA 5'!A21</f>
        <v>46387</v>
      </c>
      <c r="C7" s="559"/>
      <c r="E7" s="195" t="s">
        <v>226</v>
      </c>
      <c r="F7" s="397">
        <f>IF('PA 5'!$Q$37=0,0,IF('PA 5'!$C$14&lt;'PA 5'!$C$21,'PA 5'!$C$21,'PA 5'!$C$14))</f>
        <v>0</v>
      </c>
      <c r="G7" s="397"/>
      <c r="H7" s="1"/>
      <c r="I7" s="558">
        <f>IF('PA 5'!$Q$37=0,0,IF('PA 5'!$C$15&gt;0,'PA 5'!$C$15,B7))</f>
        <v>0</v>
      </c>
      <c r="J7" s="558"/>
      <c r="M7" s="200" t="s">
        <v>227</v>
      </c>
      <c r="N7" s="396"/>
      <c r="O7" s="560" t="s">
        <v>228</v>
      </c>
      <c r="P7" s="560"/>
      <c r="Q7" s="560"/>
      <c r="R7" s="560"/>
    </row>
    <row r="8" spans="1:18" x14ac:dyDescent="0.3">
      <c r="A8" s="195"/>
      <c r="B8" s="194" t="s">
        <v>229</v>
      </c>
      <c r="C8" s="194"/>
      <c r="D8" s="194"/>
      <c r="E8" s="194"/>
      <c r="F8" s="194" t="s">
        <v>230</v>
      </c>
      <c r="G8" s="194"/>
      <c r="H8" s="194"/>
      <c r="I8" s="194" t="s">
        <v>231</v>
      </c>
      <c r="M8" s="200"/>
      <c r="O8" s="560"/>
      <c r="P8" s="560"/>
      <c r="Q8" s="560"/>
      <c r="R8" s="560"/>
    </row>
    <row r="9" spans="1:18" x14ac:dyDescent="0.3">
      <c r="A9" s="195" t="s">
        <v>232</v>
      </c>
    </row>
    <row r="10" spans="1:18" x14ac:dyDescent="0.3">
      <c r="A10" s="195"/>
    </row>
    <row r="11" spans="1:18" x14ac:dyDescent="0.3">
      <c r="A11" s="195"/>
      <c r="L11" s="1" t="str">
        <f>CONCATENATE('PA 5'!C6:C6," ",'PA 5'!C7:C7)</f>
        <v xml:space="preserve"> </v>
      </c>
    </row>
    <row r="12" spans="1:18" x14ac:dyDescent="0.3">
      <c r="A12" s="195"/>
      <c r="L12" s="1">
        <f>'PA 5'!C8:C8</f>
        <v>0</v>
      </c>
    </row>
    <row r="13" spans="1:18" x14ac:dyDescent="0.3">
      <c r="A13" s="195"/>
      <c r="L13" s="1">
        <f>'PA 5'!C9:C9</f>
        <v>0</v>
      </c>
    </row>
    <row r="14" spans="1:18" x14ac:dyDescent="0.3">
      <c r="A14" s="195"/>
    </row>
    <row r="15" spans="1:18" x14ac:dyDescent="0.3">
      <c r="A15" s="195"/>
    </row>
    <row r="16" spans="1:18" x14ac:dyDescent="0.3">
      <c r="A16" s="195"/>
    </row>
    <row r="17" spans="1:18" x14ac:dyDescent="0.3">
      <c r="A17" s="195"/>
    </row>
    <row r="18" spans="1:18" ht="13.5" customHeight="1" x14ac:dyDescent="0.3">
      <c r="A18" s="195"/>
      <c r="R18" s="561" t="s">
        <v>233</v>
      </c>
    </row>
    <row r="19" spans="1:18" x14ac:dyDescent="0.3">
      <c r="A19" s="195">
        <v>1</v>
      </c>
      <c r="B19" s="189" t="s">
        <v>234</v>
      </c>
      <c r="C19" s="189"/>
      <c r="D19" s="189" t="s">
        <v>235</v>
      </c>
      <c r="E19" s="189"/>
      <c r="F19" s="189"/>
      <c r="G19" s="189"/>
      <c r="H19" s="189"/>
      <c r="I19" s="189"/>
      <c r="J19" s="193" t="s">
        <v>236</v>
      </c>
      <c r="K19" s="193"/>
      <c r="L19" s="189"/>
      <c r="M19" s="189"/>
      <c r="N19" s="189"/>
      <c r="Q19" s="213"/>
      <c r="R19" s="561"/>
    </row>
    <row r="20" spans="1:18" x14ac:dyDescent="0.3">
      <c r="A20" s="195"/>
      <c r="B20" s="189" t="s">
        <v>237</v>
      </c>
      <c r="C20" s="189"/>
      <c r="D20" s="189" t="s">
        <v>238</v>
      </c>
      <c r="E20" s="189"/>
      <c r="F20" s="189"/>
      <c r="G20" s="189"/>
      <c r="H20" s="189"/>
      <c r="I20" s="189"/>
      <c r="J20" s="193" t="s">
        <v>236</v>
      </c>
      <c r="K20" s="193"/>
      <c r="L20" s="189"/>
      <c r="M20" s="189"/>
      <c r="N20" s="189"/>
      <c r="Q20" s="213"/>
      <c r="R20" s="561"/>
    </row>
    <row r="21" spans="1:18" x14ac:dyDescent="0.3">
      <c r="A21" s="195"/>
      <c r="B21" s="201" t="s">
        <v>239</v>
      </c>
      <c r="C21" s="201"/>
      <c r="D21" s="201" t="s">
        <v>240</v>
      </c>
      <c r="E21" s="201"/>
      <c r="F21" s="201"/>
      <c r="G21" s="201"/>
      <c r="H21" s="201"/>
      <c r="I21" s="201"/>
      <c r="J21" s="202" t="s">
        <v>241</v>
      </c>
      <c r="K21" s="202"/>
      <c r="L21" s="201"/>
      <c r="M21" s="201"/>
      <c r="N21" s="201"/>
      <c r="O21" s="203"/>
      <c r="P21" s="203"/>
      <c r="R21" s="398">
        <f>'PA 5'!Q37-'PA 5'!Q31</f>
        <v>0</v>
      </c>
    </row>
    <row r="22" spans="1:18" ht="3" customHeight="1" x14ac:dyDescent="0.3">
      <c r="A22" s="195"/>
      <c r="B22" s="189"/>
      <c r="C22" s="189"/>
      <c r="D22" s="189"/>
      <c r="E22" s="189"/>
      <c r="F22" s="206"/>
      <c r="G22" s="206"/>
      <c r="H22" s="206"/>
      <c r="I22" s="206"/>
      <c r="J22" s="207"/>
      <c r="K22" s="207"/>
      <c r="L22" s="206"/>
      <c r="M22" s="206"/>
      <c r="N22" s="206"/>
      <c r="O22" s="208"/>
      <c r="P22" s="208"/>
      <c r="R22" s="215"/>
    </row>
    <row r="23" spans="1:18" x14ac:dyDescent="0.3">
      <c r="A23" s="195">
        <v>2</v>
      </c>
      <c r="B23" s="189" t="s">
        <v>242</v>
      </c>
      <c r="C23" s="189"/>
      <c r="D23" s="189"/>
      <c r="E23" s="189"/>
      <c r="F23" s="201" t="s">
        <v>303</v>
      </c>
      <c r="G23" s="201"/>
      <c r="H23" s="201"/>
      <c r="I23" s="203"/>
      <c r="J23" s="201"/>
      <c r="K23" s="201"/>
      <c r="L23" s="201"/>
      <c r="M23" s="201"/>
      <c r="N23" s="201"/>
      <c r="O23" s="203"/>
      <c r="P23" s="203"/>
      <c r="Q23" s="192" t="s">
        <v>244</v>
      </c>
      <c r="R23" s="399">
        <f>'PA 5'!Q31</f>
        <v>0</v>
      </c>
    </row>
    <row r="24" spans="1:18" ht="3" customHeight="1" x14ac:dyDescent="0.3">
      <c r="A24" s="195"/>
      <c r="B24" s="189"/>
      <c r="C24" s="189"/>
      <c r="D24" s="189"/>
      <c r="E24" s="189"/>
      <c r="F24" s="206"/>
      <c r="G24" s="206"/>
      <c r="H24" s="206"/>
      <c r="I24" s="208"/>
      <c r="J24" s="206"/>
      <c r="K24" s="206"/>
      <c r="L24" s="206"/>
      <c r="M24" s="206"/>
      <c r="N24" s="206"/>
      <c r="O24" s="208"/>
      <c r="P24" s="208"/>
      <c r="Q24" s="192"/>
      <c r="R24" s="215"/>
    </row>
    <row r="25" spans="1:18" x14ac:dyDescent="0.3">
      <c r="A25" s="195"/>
      <c r="B25" s="189" t="s">
        <v>245</v>
      </c>
      <c r="C25" s="189"/>
      <c r="D25" s="189"/>
      <c r="E25" s="189"/>
      <c r="F25" s="201" t="s">
        <v>304</v>
      </c>
      <c r="G25" s="201"/>
      <c r="H25" s="201"/>
      <c r="I25" s="201"/>
      <c r="J25" s="201"/>
      <c r="K25" s="201"/>
      <c r="L25" s="201"/>
      <c r="M25" s="201"/>
      <c r="N25" s="201"/>
      <c r="O25" s="203"/>
      <c r="P25" s="203"/>
      <c r="Q25" s="192" t="s">
        <v>244</v>
      </c>
      <c r="R25" s="399"/>
    </row>
    <row r="26" spans="1:18" ht="3" customHeight="1" x14ac:dyDescent="0.3">
      <c r="A26" s="195"/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Q26" s="192"/>
      <c r="R26" s="216"/>
    </row>
    <row r="27" spans="1:18" x14ac:dyDescent="0.3">
      <c r="A27" s="195"/>
      <c r="B27" s="189" t="s">
        <v>247</v>
      </c>
      <c r="C27" s="189"/>
      <c r="D27" s="189"/>
      <c r="E27" s="189"/>
      <c r="F27" s="189" t="s">
        <v>305</v>
      </c>
      <c r="G27" s="189"/>
      <c r="H27" s="189"/>
      <c r="I27" s="189"/>
      <c r="J27" s="553"/>
      <c r="K27" s="553"/>
      <c r="L27" s="553"/>
      <c r="M27" s="553"/>
      <c r="N27" s="553"/>
      <c r="O27" s="553"/>
      <c r="P27" s="553"/>
      <c r="Q27" s="192" t="s">
        <v>244</v>
      </c>
      <c r="R27" s="399"/>
    </row>
    <row r="28" spans="1:18" ht="9.75" customHeight="1" x14ac:dyDescent="0.3">
      <c r="A28" s="195"/>
      <c r="B28" s="189"/>
      <c r="C28" s="189"/>
      <c r="D28" s="189"/>
      <c r="E28" s="189"/>
      <c r="F28" s="191" t="s">
        <v>249</v>
      </c>
      <c r="G28" s="191"/>
      <c r="H28" s="191"/>
      <c r="I28" s="189"/>
      <c r="J28" s="189"/>
      <c r="K28" s="189"/>
      <c r="L28" s="189"/>
      <c r="M28" s="189"/>
      <c r="N28" s="189"/>
      <c r="R28" s="217"/>
    </row>
    <row r="29" spans="1:18" x14ac:dyDescent="0.3">
      <c r="A29" s="195">
        <v>3</v>
      </c>
      <c r="B29" s="189" t="s">
        <v>250</v>
      </c>
      <c r="C29" s="189"/>
      <c r="D29" s="189"/>
      <c r="E29" s="189"/>
      <c r="F29" s="189"/>
      <c r="G29" s="189"/>
      <c r="H29" s="189"/>
      <c r="I29" s="189"/>
      <c r="J29" s="189"/>
      <c r="K29" s="191" t="s">
        <v>249</v>
      </c>
      <c r="M29" s="189"/>
      <c r="N29" s="189"/>
      <c r="Q29" s="192" t="s">
        <v>244</v>
      </c>
      <c r="R29" s="217"/>
    </row>
    <row r="30" spans="1:18" x14ac:dyDescent="0.3">
      <c r="A30" s="195"/>
      <c r="B30" s="553"/>
      <c r="C30" s="553"/>
      <c r="D30" s="553"/>
      <c r="E30" s="553"/>
      <c r="F30" s="553"/>
      <c r="G30" s="553"/>
      <c r="H30" s="553"/>
      <c r="I30" s="553"/>
      <c r="J30" s="553"/>
      <c r="K30" s="553"/>
      <c r="L30" s="553"/>
      <c r="M30" s="553"/>
      <c r="N30" s="553"/>
      <c r="O30" s="553"/>
      <c r="P30" s="553"/>
      <c r="R30" s="399"/>
    </row>
    <row r="31" spans="1:18" ht="3" customHeight="1" x14ac:dyDescent="0.3">
      <c r="A31" s="195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R31" s="215"/>
    </row>
    <row r="32" spans="1:18" x14ac:dyDescent="0.3">
      <c r="A32" s="195">
        <v>4</v>
      </c>
      <c r="B32" s="189" t="s">
        <v>251</v>
      </c>
      <c r="C32" s="189"/>
      <c r="D32" s="189"/>
      <c r="E32" s="189"/>
      <c r="F32" s="189"/>
      <c r="G32" s="189"/>
      <c r="H32" s="189"/>
      <c r="I32" s="553"/>
      <c r="J32" s="553"/>
      <c r="K32" s="553"/>
      <c r="L32" s="553"/>
      <c r="M32" s="553"/>
      <c r="N32" s="553"/>
      <c r="O32" s="553"/>
      <c r="P32" s="553"/>
      <c r="Q32" s="192" t="s">
        <v>244</v>
      </c>
      <c r="R32" s="399"/>
    </row>
    <row r="33" spans="1:18" ht="9" customHeight="1" x14ac:dyDescent="0.3">
      <c r="A33" s="195"/>
      <c r="B33" s="191" t="s">
        <v>249</v>
      </c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R33" s="217"/>
    </row>
    <row r="34" spans="1:18" x14ac:dyDescent="0.3">
      <c r="A34" s="195">
        <v>5</v>
      </c>
      <c r="B34" s="201" t="s">
        <v>252</v>
      </c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3"/>
      <c r="P34" s="203"/>
      <c r="Q34" s="192" t="s">
        <v>244</v>
      </c>
      <c r="R34" s="399"/>
    </row>
    <row r="35" spans="1:18" ht="3" customHeight="1" x14ac:dyDescent="0.3">
      <c r="A35" s="195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Q35" s="192"/>
      <c r="R35" s="216"/>
    </row>
    <row r="36" spans="1:18" x14ac:dyDescent="0.3">
      <c r="A36" s="195">
        <v>6</v>
      </c>
      <c r="B36" s="201" t="s">
        <v>253</v>
      </c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3"/>
      <c r="P36" s="203"/>
      <c r="Q36" s="192" t="s">
        <v>244</v>
      </c>
      <c r="R36" s="399"/>
    </row>
    <row r="37" spans="1:18" ht="3" customHeight="1" x14ac:dyDescent="0.3">
      <c r="A37" s="195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Q37" s="192"/>
      <c r="R37" s="216"/>
    </row>
    <row r="38" spans="1:18" x14ac:dyDescent="0.3">
      <c r="A38" s="195">
        <v>7</v>
      </c>
      <c r="B38" s="189" t="s">
        <v>254</v>
      </c>
      <c r="C38" s="189"/>
      <c r="D38" s="189"/>
      <c r="E38" s="189"/>
      <c r="F38" s="189"/>
      <c r="G38" s="189"/>
      <c r="H38" s="189"/>
      <c r="I38" s="553"/>
      <c r="J38" s="553"/>
      <c r="K38" s="553"/>
      <c r="L38" s="553"/>
      <c r="M38" s="553"/>
      <c r="N38" s="553"/>
      <c r="O38" s="553"/>
      <c r="P38" s="553"/>
      <c r="Q38" s="192" t="s">
        <v>244</v>
      </c>
      <c r="R38" s="399"/>
    </row>
    <row r="39" spans="1:18" ht="9" customHeight="1" x14ac:dyDescent="0.3">
      <c r="A39" s="195"/>
      <c r="B39" s="191" t="s">
        <v>249</v>
      </c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R39" s="217"/>
    </row>
    <row r="40" spans="1:18" x14ac:dyDescent="0.3">
      <c r="A40" s="195">
        <v>8</v>
      </c>
      <c r="B40" s="201" t="s">
        <v>255</v>
      </c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3"/>
      <c r="P40" s="203"/>
      <c r="Q40" s="192" t="s">
        <v>256</v>
      </c>
      <c r="R40" s="399">
        <f>SUM(R21:R39)</f>
        <v>0</v>
      </c>
    </row>
    <row r="41" spans="1:18" ht="3" customHeight="1" x14ac:dyDescent="0.3">
      <c r="A41" s="195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Q41" s="192"/>
      <c r="R41" s="216"/>
    </row>
    <row r="42" spans="1:18" x14ac:dyDescent="0.3">
      <c r="A42" s="195">
        <v>9</v>
      </c>
      <c r="B42" s="201" t="s">
        <v>257</v>
      </c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3"/>
      <c r="P42" s="203"/>
      <c r="Q42" s="192" t="s">
        <v>44</v>
      </c>
      <c r="R42" s="399">
        <f>('PA 5'!Q40+'PA 5'!Q41+'PA 5'!Q42)*-1</f>
        <v>0</v>
      </c>
    </row>
    <row r="43" spans="1:18" ht="3" customHeight="1" x14ac:dyDescent="0.3">
      <c r="A43" s="195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Q43" s="192"/>
      <c r="R43" s="216"/>
    </row>
    <row r="44" spans="1:18" x14ac:dyDescent="0.3">
      <c r="A44" s="195">
        <v>10</v>
      </c>
      <c r="B44" s="189" t="s">
        <v>258</v>
      </c>
      <c r="C44" s="189"/>
      <c r="D44" s="189"/>
      <c r="E44" s="189" t="s">
        <v>259</v>
      </c>
      <c r="F44" s="189"/>
      <c r="G44" s="189"/>
      <c r="H44" s="201" t="s">
        <v>306</v>
      </c>
      <c r="I44" s="203"/>
      <c r="J44" s="201"/>
      <c r="K44" s="201"/>
      <c r="L44" s="201"/>
      <c r="M44" s="201"/>
      <c r="N44" s="201"/>
      <c r="O44" s="203"/>
      <c r="P44" s="203"/>
      <c r="Q44" s="192" t="s">
        <v>44</v>
      </c>
      <c r="R44" s="399">
        <f>'PA 5'!Q44*-1</f>
        <v>0</v>
      </c>
    </row>
    <row r="45" spans="1:18" x14ac:dyDescent="0.3">
      <c r="A45" s="195"/>
      <c r="B45" s="189" t="s">
        <v>261</v>
      </c>
      <c r="C45" s="189"/>
      <c r="D45" s="189"/>
      <c r="E45" s="189" t="s">
        <v>307</v>
      </c>
      <c r="F45" s="189"/>
      <c r="G45" s="189"/>
      <c r="H45" s="189"/>
      <c r="J45" s="189"/>
      <c r="K45" s="189"/>
      <c r="L45" s="189"/>
      <c r="M45" s="189"/>
      <c r="N45" s="189"/>
      <c r="R45" s="217"/>
    </row>
    <row r="46" spans="1:18" x14ac:dyDescent="0.3">
      <c r="A46" s="195"/>
      <c r="B46" s="189" t="s">
        <v>263</v>
      </c>
      <c r="C46" s="189"/>
      <c r="E46" s="189" t="s">
        <v>308</v>
      </c>
      <c r="H46" s="201" t="s">
        <v>309</v>
      </c>
      <c r="I46" s="203"/>
      <c r="J46" s="203"/>
      <c r="K46" s="203"/>
      <c r="L46" s="203"/>
      <c r="M46" s="203"/>
      <c r="N46" s="203"/>
      <c r="O46" s="203"/>
      <c r="P46" s="203"/>
      <c r="Q46" s="192" t="s">
        <v>44</v>
      </c>
      <c r="R46" s="399"/>
    </row>
    <row r="47" spans="1:18" ht="3" customHeight="1" x14ac:dyDescent="0.3">
      <c r="A47" s="195"/>
      <c r="B47" s="189"/>
      <c r="C47" s="189"/>
      <c r="E47" s="189"/>
      <c r="H47" s="189"/>
      <c r="Q47" s="192"/>
      <c r="R47" s="216"/>
    </row>
    <row r="48" spans="1:18" x14ac:dyDescent="0.3">
      <c r="A48" s="195">
        <v>11</v>
      </c>
      <c r="B48" s="204" t="s">
        <v>266</v>
      </c>
      <c r="C48" s="201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3"/>
      <c r="O48" s="203"/>
      <c r="P48" s="203"/>
      <c r="Q48" s="192" t="s">
        <v>256</v>
      </c>
      <c r="R48" s="399">
        <f>R40-SUM(R42:R46)</f>
        <v>0</v>
      </c>
    </row>
    <row r="49" spans="1:18" ht="9" customHeight="1" x14ac:dyDescent="0.3">
      <c r="A49" s="195"/>
      <c r="B49" s="196" t="s">
        <v>267</v>
      </c>
      <c r="C49" s="189"/>
      <c r="R49" s="217"/>
    </row>
    <row r="50" spans="1:18" x14ac:dyDescent="0.3">
      <c r="A50" s="195">
        <v>12</v>
      </c>
      <c r="B50" s="201" t="s">
        <v>268</v>
      </c>
      <c r="C50" s="201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R50" s="399">
        <f>'PA 5'!Q46*-1</f>
        <v>0</v>
      </c>
    </row>
    <row r="51" spans="1:18" x14ac:dyDescent="0.3">
      <c r="A51" s="195">
        <v>13</v>
      </c>
      <c r="B51" s="189" t="s">
        <v>269</v>
      </c>
      <c r="C51" s="189"/>
      <c r="R51" s="218"/>
    </row>
    <row r="52" spans="1:18" ht="9" customHeight="1" x14ac:dyDescent="0.3">
      <c r="B52" s="191" t="s">
        <v>270</v>
      </c>
      <c r="R52" s="218"/>
    </row>
    <row r="53" spans="1:18" ht="13.5" customHeight="1" x14ac:dyDescent="0.3">
      <c r="A53" s="562">
        <v>13.1</v>
      </c>
      <c r="B53" s="562"/>
      <c r="C53" s="564" t="s">
        <v>271</v>
      </c>
      <c r="D53" s="197" t="s">
        <v>272</v>
      </c>
      <c r="E53" s="201" t="s">
        <v>273</v>
      </c>
      <c r="F53" s="201"/>
      <c r="G53" s="201"/>
      <c r="H53" s="201"/>
      <c r="I53" s="203"/>
      <c r="J53" s="203"/>
      <c r="K53" s="203"/>
      <c r="L53" s="203"/>
      <c r="M53" s="203"/>
      <c r="N53" s="203"/>
      <c r="O53" s="203"/>
      <c r="P53" s="395" t="s">
        <v>216</v>
      </c>
      <c r="R53" s="401"/>
    </row>
    <row r="54" spans="1:18" ht="3" customHeight="1" x14ac:dyDescent="0.3">
      <c r="A54" s="210"/>
      <c r="B54" s="210"/>
      <c r="C54" s="564"/>
      <c r="D54" s="197"/>
      <c r="E54" s="189"/>
      <c r="F54" s="189"/>
      <c r="G54" s="189"/>
      <c r="H54" s="189"/>
      <c r="R54" s="219"/>
    </row>
    <row r="55" spans="1:18" x14ac:dyDescent="0.3">
      <c r="A55" s="195"/>
      <c r="B55" s="195"/>
      <c r="C55" s="564"/>
      <c r="D55" s="198" t="s">
        <v>274</v>
      </c>
      <c r="E55" s="189" t="s">
        <v>275</v>
      </c>
      <c r="F55" s="189"/>
      <c r="G55" s="189"/>
      <c r="H55" s="189"/>
      <c r="I55" s="554"/>
      <c r="J55" s="554"/>
      <c r="K55" s="554"/>
      <c r="L55" s="554"/>
      <c r="M55" s="554"/>
      <c r="N55" s="554"/>
      <c r="O55" s="554"/>
      <c r="P55" s="554"/>
      <c r="R55" s="401"/>
    </row>
    <row r="56" spans="1:18" ht="9" customHeight="1" x14ac:dyDescent="0.3">
      <c r="A56" s="195"/>
      <c r="B56" s="195"/>
      <c r="C56" s="564"/>
      <c r="D56" s="199"/>
      <c r="E56" s="194" t="s">
        <v>249</v>
      </c>
      <c r="R56" s="218"/>
    </row>
    <row r="57" spans="1:18" x14ac:dyDescent="0.3">
      <c r="A57" s="563">
        <v>13.2</v>
      </c>
      <c r="B57" s="563"/>
      <c r="C57" s="189" t="s">
        <v>276</v>
      </c>
      <c r="D57" s="198" t="s">
        <v>277</v>
      </c>
      <c r="E57" s="201" t="s">
        <v>278</v>
      </c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R57" s="401"/>
    </row>
    <row r="58" spans="1:18" ht="3" customHeight="1" x14ac:dyDescent="0.3">
      <c r="A58" s="211"/>
      <c r="B58" s="211"/>
      <c r="C58" s="189"/>
      <c r="D58" s="198"/>
      <c r="E58" s="189"/>
      <c r="R58" s="220"/>
    </row>
    <row r="59" spans="1:18" x14ac:dyDescent="0.3">
      <c r="A59" s="195"/>
      <c r="B59" s="195"/>
      <c r="C59" s="189" t="s">
        <v>279</v>
      </c>
      <c r="D59" s="198" t="s">
        <v>280</v>
      </c>
      <c r="E59" s="201" t="s">
        <v>281</v>
      </c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R59" s="401"/>
    </row>
    <row r="60" spans="1:18" ht="3" customHeight="1" x14ac:dyDescent="0.3">
      <c r="A60" s="195"/>
      <c r="B60" s="195"/>
      <c r="C60" s="189"/>
      <c r="D60" s="198"/>
      <c r="E60" s="189"/>
      <c r="I60" s="208"/>
      <c r="J60" s="208"/>
      <c r="K60" s="208"/>
      <c r="L60" s="208"/>
      <c r="M60" s="208"/>
      <c r="N60" s="208"/>
      <c r="O60" s="208"/>
      <c r="P60" s="208"/>
      <c r="R60" s="220"/>
    </row>
    <row r="61" spans="1:18" x14ac:dyDescent="0.3">
      <c r="A61" s="195"/>
      <c r="B61" s="195"/>
      <c r="C61" s="189" t="s">
        <v>282</v>
      </c>
      <c r="D61" s="198" t="s">
        <v>283</v>
      </c>
      <c r="E61" s="189" t="s">
        <v>275</v>
      </c>
      <c r="I61" s="554"/>
      <c r="J61" s="554"/>
      <c r="K61" s="554"/>
      <c r="L61" s="554"/>
      <c r="M61" s="554"/>
      <c r="N61" s="554"/>
      <c r="O61" s="554"/>
      <c r="P61" s="554"/>
      <c r="R61" s="401"/>
    </row>
    <row r="62" spans="1:18" ht="9" customHeight="1" x14ac:dyDescent="0.3">
      <c r="B62" s="189"/>
      <c r="C62" s="189"/>
      <c r="E62" s="194" t="s">
        <v>249</v>
      </c>
      <c r="R62" s="218"/>
    </row>
    <row r="63" spans="1:18" x14ac:dyDescent="0.3">
      <c r="A63" s="562">
        <v>13.3</v>
      </c>
      <c r="B63" s="562"/>
      <c r="C63" s="201" t="s">
        <v>284</v>
      </c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R63" s="401"/>
    </row>
    <row r="64" spans="1:18" ht="3" customHeight="1" x14ac:dyDescent="0.3">
      <c r="A64" s="210"/>
      <c r="B64" s="210"/>
      <c r="C64" s="189"/>
    </row>
    <row r="65" spans="1:18" x14ac:dyDescent="0.3">
      <c r="A65" s="195">
        <v>14</v>
      </c>
      <c r="B65" s="189" t="s">
        <v>285</v>
      </c>
      <c r="C65" s="189"/>
      <c r="F65" s="189" t="s">
        <v>286</v>
      </c>
      <c r="G65" s="189"/>
      <c r="H65" s="189"/>
      <c r="I65" s="554"/>
      <c r="J65" s="554"/>
      <c r="K65" s="554"/>
      <c r="L65" s="554"/>
      <c r="M65" s="554"/>
      <c r="N65" s="554"/>
      <c r="O65" s="554"/>
      <c r="P65" s="554"/>
      <c r="Q65" s="554"/>
      <c r="R65" s="554"/>
    </row>
    <row r="66" spans="1:18" ht="3" customHeight="1" x14ac:dyDescent="0.3">
      <c r="A66" s="195"/>
      <c r="B66" s="189"/>
      <c r="C66" s="189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2"/>
      <c r="O66" s="212"/>
      <c r="P66" s="212"/>
      <c r="Q66" s="212"/>
      <c r="R66" s="212"/>
    </row>
    <row r="67" spans="1:18" x14ac:dyDescent="0.3">
      <c r="A67" s="195"/>
      <c r="B67" s="189" t="s">
        <v>287</v>
      </c>
      <c r="C67" s="189"/>
      <c r="F67" s="189" t="s">
        <v>288</v>
      </c>
      <c r="G67" s="189"/>
      <c r="H67" s="189"/>
      <c r="I67" s="554"/>
      <c r="J67" s="554"/>
      <c r="K67" s="554"/>
      <c r="L67" s="554"/>
      <c r="M67" s="554"/>
      <c r="N67" s="554"/>
      <c r="O67" s="554"/>
      <c r="P67" s="554"/>
      <c r="Q67" s="554"/>
      <c r="R67" s="554"/>
    </row>
    <row r="68" spans="1:18" ht="3" customHeight="1" x14ac:dyDescent="0.3">
      <c r="A68" s="195"/>
      <c r="B68" s="189"/>
      <c r="C68" s="189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2"/>
      <c r="Q68" s="212"/>
      <c r="R68" s="212"/>
    </row>
    <row r="69" spans="1:18" x14ac:dyDescent="0.3">
      <c r="A69" s="195"/>
      <c r="B69" s="189" t="s">
        <v>289</v>
      </c>
      <c r="C69" s="189"/>
      <c r="F69" s="189" t="s">
        <v>290</v>
      </c>
      <c r="G69" s="189"/>
      <c r="H69" s="189"/>
      <c r="I69" s="554"/>
      <c r="J69" s="554"/>
      <c r="K69" s="554"/>
      <c r="L69" s="554"/>
      <c r="M69" s="554"/>
      <c r="N69" s="554"/>
      <c r="O69" s="554"/>
      <c r="P69" s="554"/>
      <c r="Q69" s="554"/>
      <c r="R69" s="554"/>
    </row>
    <row r="70" spans="1:18" ht="3" customHeight="1" x14ac:dyDescent="0.3">
      <c r="A70" s="195"/>
      <c r="B70" s="189"/>
      <c r="C70" s="189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2"/>
      <c r="O70" s="212"/>
      <c r="P70" s="212"/>
      <c r="Q70" s="212"/>
      <c r="R70" s="212"/>
    </row>
    <row r="71" spans="1:18" x14ac:dyDescent="0.3">
      <c r="A71" s="195">
        <v>15</v>
      </c>
      <c r="B71" s="189" t="s">
        <v>291</v>
      </c>
      <c r="C71" s="189"/>
      <c r="D71" s="556" t="str">
        <f>IF('PA 5'!L7&lt;100%,"Taux d'occupation "&amp;('PA 5'!L7+'PA 5'!L12)*100&amp;"%","")</f>
        <v>Taux d'occupation 0%</v>
      </c>
      <c r="E71" s="556"/>
      <c r="F71" s="556"/>
      <c r="G71" s="556"/>
      <c r="H71" s="556"/>
      <c r="I71" s="556"/>
      <c r="J71" s="556"/>
      <c r="K71" s="556"/>
      <c r="L71" s="556"/>
      <c r="M71" s="556"/>
      <c r="N71" s="556"/>
      <c r="O71" s="556"/>
      <c r="P71" s="556"/>
      <c r="Q71" s="556"/>
      <c r="R71" s="556"/>
    </row>
    <row r="72" spans="1:18" ht="3" customHeight="1" x14ac:dyDescent="0.3">
      <c r="A72" s="195"/>
      <c r="B72" s="189"/>
      <c r="C72" s="189"/>
      <c r="D72" s="223"/>
      <c r="E72" s="223"/>
      <c r="F72" s="223"/>
      <c r="G72" s="223"/>
      <c r="H72" s="223"/>
      <c r="I72" s="223"/>
      <c r="J72" s="223"/>
      <c r="K72" s="223"/>
      <c r="L72" s="223"/>
      <c r="M72" s="223"/>
      <c r="N72" s="223"/>
      <c r="O72" s="223"/>
      <c r="P72" s="223"/>
      <c r="Q72" s="223"/>
      <c r="R72" s="223"/>
    </row>
    <row r="73" spans="1:18" x14ac:dyDescent="0.3">
      <c r="A73" s="195"/>
      <c r="B73" s="189" t="s">
        <v>292</v>
      </c>
      <c r="C73" s="189"/>
      <c r="D73" s="557"/>
      <c r="E73" s="557"/>
      <c r="F73" s="557"/>
      <c r="G73" s="557"/>
      <c r="H73" s="557"/>
      <c r="I73" s="557"/>
      <c r="J73" s="557"/>
      <c r="K73" s="557"/>
      <c r="L73" s="557"/>
      <c r="M73" s="557"/>
      <c r="N73" s="557"/>
      <c r="O73" s="557"/>
      <c r="P73" s="557"/>
      <c r="Q73" s="557"/>
      <c r="R73" s="557"/>
    </row>
    <row r="74" spans="1:18" ht="3" customHeight="1" x14ac:dyDescent="0.3">
      <c r="A74" s="195"/>
      <c r="B74" s="189"/>
      <c r="C74" s="189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</row>
    <row r="75" spans="1:18" x14ac:dyDescent="0.3">
      <c r="A75" s="195"/>
      <c r="B75" s="189" t="s">
        <v>293</v>
      </c>
      <c r="C75" s="189"/>
      <c r="D75" s="557"/>
      <c r="E75" s="557"/>
      <c r="F75" s="557"/>
      <c r="G75" s="557"/>
      <c r="H75" s="557"/>
      <c r="I75" s="557"/>
      <c r="J75" s="557"/>
      <c r="K75" s="557"/>
      <c r="L75" s="557"/>
      <c r="M75" s="557"/>
      <c r="N75" s="557"/>
      <c r="O75" s="557"/>
      <c r="P75" s="557"/>
      <c r="Q75" s="557"/>
      <c r="R75" s="557"/>
    </row>
    <row r="76" spans="1:18" x14ac:dyDescent="0.3">
      <c r="A76" s="195"/>
      <c r="B76" s="189"/>
      <c r="C76" s="189"/>
    </row>
    <row r="77" spans="1:18" x14ac:dyDescent="0.3">
      <c r="A77" s="195" t="s">
        <v>294</v>
      </c>
      <c r="B77" s="189" t="s">
        <v>295</v>
      </c>
      <c r="C77" s="189"/>
      <c r="F77" s="189" t="s">
        <v>296</v>
      </c>
      <c r="G77" s="189"/>
      <c r="M77" s="565">
        <f>'Attestation du salaire (ord.)'!A8:A8</f>
        <v>0</v>
      </c>
      <c r="N77" s="565"/>
      <c r="O77" s="565"/>
      <c r="P77" s="565"/>
      <c r="Q77" s="565"/>
      <c r="R77" s="565"/>
    </row>
    <row r="78" spans="1:18" ht="9" customHeight="1" x14ac:dyDescent="0.3">
      <c r="B78" s="189"/>
      <c r="C78" s="189"/>
      <c r="F78" s="191" t="s">
        <v>297</v>
      </c>
      <c r="G78" s="191"/>
      <c r="M78" s="221"/>
      <c r="N78" s="221"/>
      <c r="O78" s="221"/>
      <c r="P78" s="221"/>
      <c r="Q78" s="221"/>
      <c r="R78" s="221"/>
    </row>
    <row r="79" spans="1:18" x14ac:dyDescent="0.3">
      <c r="B79" s="555"/>
      <c r="C79" s="555"/>
      <c r="D79" s="555"/>
      <c r="F79" s="189" t="s">
        <v>298</v>
      </c>
      <c r="G79" s="189"/>
      <c r="M79" s="498">
        <f>'Attestation du salaire (ord.)'!A9:A9</f>
        <v>0</v>
      </c>
      <c r="N79" s="498"/>
      <c r="O79" s="498"/>
      <c r="P79" s="498"/>
      <c r="Q79" s="498"/>
      <c r="R79" s="498"/>
    </row>
    <row r="80" spans="1:18" ht="9" customHeight="1" x14ac:dyDescent="0.3">
      <c r="B80" s="189"/>
      <c r="C80" s="189"/>
      <c r="F80" s="191" t="s">
        <v>299</v>
      </c>
      <c r="G80" s="191"/>
      <c r="M80" s="221"/>
      <c r="N80" s="221"/>
      <c r="O80" s="221"/>
      <c r="P80" s="221"/>
      <c r="Q80" s="221"/>
      <c r="R80" s="221"/>
    </row>
    <row r="81" spans="2:18" ht="13.5" customHeight="1" x14ac:dyDescent="0.3">
      <c r="B81" s="189"/>
      <c r="C81" s="189"/>
      <c r="F81" s="189" t="s">
        <v>300</v>
      </c>
      <c r="G81" s="189"/>
      <c r="M81" s="565">
        <f>'Attestation du salaire (ord.)'!A10:A10</f>
        <v>0</v>
      </c>
      <c r="N81" s="565"/>
      <c r="O81" s="565"/>
      <c r="P81" s="565"/>
      <c r="Q81" s="565"/>
      <c r="R81" s="565"/>
    </row>
    <row r="82" spans="2:18" ht="9" customHeight="1" x14ac:dyDescent="0.3">
      <c r="B82" s="189"/>
      <c r="C82" s="189"/>
      <c r="F82" s="191" t="s">
        <v>301</v>
      </c>
      <c r="G82" s="191"/>
      <c r="M82" s="222"/>
      <c r="N82" s="222"/>
      <c r="O82" s="222"/>
      <c r="P82" s="222"/>
      <c r="Q82" s="222"/>
      <c r="R82" s="222"/>
    </row>
    <row r="83" spans="2:18" ht="13.5" customHeight="1" x14ac:dyDescent="0.3">
      <c r="B83" s="189"/>
      <c r="C83" s="189"/>
      <c r="I83" s="189"/>
      <c r="M83" s="565" t="str">
        <f>'CS 1'!M83:R83</f>
        <v>Entrez le numéro de téléphone ici</v>
      </c>
      <c r="N83" s="565"/>
      <c r="O83" s="565"/>
      <c r="P83" s="565"/>
      <c r="Q83" s="565"/>
      <c r="R83" s="565"/>
    </row>
    <row r="84" spans="2:18" x14ac:dyDescent="0.3">
      <c r="B84" s="189"/>
      <c r="C84" s="189"/>
    </row>
  </sheetData>
  <sheetProtection algorithmName="SHA-512" hashValue="O5L5i7ou7YVirznypbfXftaBJGLP4SNhTGdqdlpx+KkYDOomawT2CHniOk8joj0zshgpSlDTQnJNqDeg9ta1WQ==" saltValue="Z1pzwvgNmTM0IuOwVr19Eg==" spinCount="100000" sheet="1" objects="1" scenarios="1"/>
  <mergeCells count="28">
    <mergeCell ref="O5:R6"/>
    <mergeCell ref="B7:C7"/>
    <mergeCell ref="I7:J7"/>
    <mergeCell ref="O7:R8"/>
    <mergeCell ref="H5:K5"/>
    <mergeCell ref="B5:F5"/>
    <mergeCell ref="I69:R69"/>
    <mergeCell ref="R18:R20"/>
    <mergeCell ref="J27:P27"/>
    <mergeCell ref="B30:P30"/>
    <mergeCell ref="I32:P32"/>
    <mergeCell ref="I38:P38"/>
    <mergeCell ref="A53:B53"/>
    <mergeCell ref="C53:C56"/>
    <mergeCell ref="I55:P55"/>
    <mergeCell ref="A57:B57"/>
    <mergeCell ref="I61:P61"/>
    <mergeCell ref="A63:B63"/>
    <mergeCell ref="I65:R65"/>
    <mergeCell ref="I67:R67"/>
    <mergeCell ref="M83:R83"/>
    <mergeCell ref="D71:R71"/>
    <mergeCell ref="D73:R73"/>
    <mergeCell ref="D75:R75"/>
    <mergeCell ref="M77:R77"/>
    <mergeCell ref="M79:R79"/>
    <mergeCell ref="M81:R81"/>
    <mergeCell ref="B79:D79"/>
  </mergeCells>
  <pageMargins left="0.39370078740157483" right="7.874015748031496E-2" top="0.39370078740157483" bottom="0.39370078740157483" header="0.31496062992125984" footer="0.31496062992125984"/>
  <pageSetup paperSize="9" scale="95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8" tint="0.59999389629810485"/>
    <pageSetUpPr fitToPage="1"/>
  </sheetPr>
  <dimension ref="A1:R84"/>
  <sheetViews>
    <sheetView showGridLines="0" showZeros="0" zoomScaleNormal="100" workbookViewId="0">
      <selection activeCell="C1" sqref="C1"/>
    </sheetView>
  </sheetViews>
  <sheetFormatPr baseColWidth="10" defaultColWidth="11.453125" defaultRowHeight="13" x14ac:dyDescent="0.3"/>
  <cols>
    <col min="1" max="1" width="2.453125" style="189" bestFit="1" customWidth="1"/>
    <col min="2" max="2" width="3.26953125" style="190" customWidth="1"/>
    <col min="3" max="3" width="12" style="190" customWidth="1"/>
    <col min="4" max="4" width="7.453125" style="190" customWidth="1"/>
    <col min="5" max="5" width="1.81640625" style="190" customWidth="1"/>
    <col min="6" max="6" width="10.26953125" style="190" customWidth="1"/>
    <col min="7" max="7" width="1.7265625" style="190" customWidth="1"/>
    <col min="8" max="9" width="5.7265625" style="190" customWidth="1"/>
    <col min="10" max="11" width="6.26953125" style="190" customWidth="1"/>
    <col min="12" max="12" width="4" style="190" customWidth="1"/>
    <col min="13" max="13" width="2.1796875" style="190" bestFit="1" customWidth="1"/>
    <col min="14" max="14" width="2.7265625" style="190" customWidth="1"/>
    <col min="15" max="15" width="14.7265625" style="190" customWidth="1"/>
    <col min="16" max="16" width="2.7265625" style="190" customWidth="1"/>
    <col min="17" max="17" width="1.7265625" style="190" customWidth="1"/>
    <col min="18" max="18" width="14.1796875" style="190" customWidth="1"/>
    <col min="19" max="16384" width="11.453125" style="190"/>
  </cols>
  <sheetData>
    <row r="1" spans="1:18" ht="17" x14ac:dyDescent="0.5">
      <c r="A1" s="195" t="s">
        <v>215</v>
      </c>
      <c r="B1" s="395" t="s">
        <v>216</v>
      </c>
      <c r="C1" s="214" t="s">
        <v>217</v>
      </c>
    </row>
    <row r="2" spans="1:18" ht="3" customHeight="1" x14ac:dyDescent="0.5">
      <c r="A2" s="195"/>
      <c r="C2" s="214"/>
    </row>
    <row r="3" spans="1:18" ht="17" x14ac:dyDescent="0.5">
      <c r="A3" s="195" t="s">
        <v>218</v>
      </c>
      <c r="B3" s="396"/>
      <c r="C3" s="214" t="s">
        <v>219</v>
      </c>
    </row>
    <row r="4" spans="1:18" ht="9" customHeight="1" x14ac:dyDescent="0.3">
      <c r="A4" s="195"/>
      <c r="C4" s="199"/>
    </row>
    <row r="5" spans="1:18" ht="13.5" customHeight="1" x14ac:dyDescent="0.3">
      <c r="A5" s="195" t="s">
        <v>220</v>
      </c>
      <c r="B5" s="557" t="str">
        <f>IF('PA 6'!$F$6="","",'PA 6'!$F$6)</f>
        <v/>
      </c>
      <c r="C5" s="557"/>
      <c r="D5" s="557"/>
      <c r="E5" s="557"/>
      <c r="F5" s="557"/>
      <c r="G5" s="375"/>
      <c r="H5" s="558" cm="1">
        <f t="array" ref="H5">'PA 6'!F7:F7</f>
        <v>0</v>
      </c>
      <c r="I5" s="558"/>
      <c r="J5" s="558"/>
      <c r="K5" s="558"/>
      <c r="M5" s="200" t="s">
        <v>221</v>
      </c>
      <c r="N5" s="396"/>
      <c r="O5" s="560" t="s">
        <v>222</v>
      </c>
      <c r="P5" s="560"/>
      <c r="Q5" s="560"/>
      <c r="R5" s="560"/>
    </row>
    <row r="6" spans="1:18" x14ac:dyDescent="0.3">
      <c r="A6" s="195"/>
      <c r="B6" s="194" t="s">
        <v>223</v>
      </c>
      <c r="C6" s="205"/>
      <c r="D6" s="194"/>
      <c r="E6" s="205"/>
      <c r="H6" s="194" t="s">
        <v>224</v>
      </c>
      <c r="M6" s="200"/>
      <c r="O6" s="560"/>
      <c r="P6" s="560"/>
      <c r="Q6" s="560"/>
      <c r="R6" s="560"/>
    </row>
    <row r="7" spans="1:18" ht="13.5" customHeight="1" x14ac:dyDescent="0.3">
      <c r="A7" s="195" t="s">
        <v>225</v>
      </c>
      <c r="B7" s="559">
        <f>'PA 6'!A21</f>
        <v>46387</v>
      </c>
      <c r="C7" s="559"/>
      <c r="E7" s="195" t="s">
        <v>226</v>
      </c>
      <c r="F7" s="397">
        <f>IF('PA 6'!$Q$37=0,0,IF('PA 6'!$C$14&lt;'PA 6'!$C$21,'PA 6'!$C$21,'PA 6'!$C$14))</f>
        <v>0</v>
      </c>
      <c r="G7" s="397"/>
      <c r="H7" s="1"/>
      <c r="I7" s="558">
        <f>IF('PA 6'!$Q$37=0,0,IF('PA 6'!$C$15&gt;0,'PA 6'!$C$15,B7))</f>
        <v>0</v>
      </c>
      <c r="J7" s="558"/>
      <c r="M7" s="200" t="s">
        <v>227</v>
      </c>
      <c r="N7" s="396"/>
      <c r="O7" s="560" t="s">
        <v>228</v>
      </c>
      <c r="P7" s="560"/>
      <c r="Q7" s="560"/>
      <c r="R7" s="560"/>
    </row>
    <row r="8" spans="1:18" x14ac:dyDescent="0.3">
      <c r="A8" s="195"/>
      <c r="B8" s="194" t="s">
        <v>229</v>
      </c>
      <c r="C8" s="194"/>
      <c r="D8" s="194"/>
      <c r="E8" s="194"/>
      <c r="F8" s="194" t="s">
        <v>230</v>
      </c>
      <c r="G8" s="194"/>
      <c r="H8" s="194"/>
      <c r="I8" s="194" t="s">
        <v>231</v>
      </c>
      <c r="M8" s="200"/>
      <c r="O8" s="560"/>
      <c r="P8" s="560"/>
      <c r="Q8" s="560"/>
      <c r="R8" s="560"/>
    </row>
    <row r="9" spans="1:18" x14ac:dyDescent="0.3">
      <c r="A9" s="195" t="s">
        <v>232</v>
      </c>
    </row>
    <row r="10" spans="1:18" x14ac:dyDescent="0.3">
      <c r="A10" s="195"/>
    </row>
    <row r="11" spans="1:18" x14ac:dyDescent="0.3">
      <c r="A11" s="195"/>
      <c r="L11" s="1" t="str">
        <f>CONCATENATE('PA 6'!C6:C6," ",'PA 6'!C7:C7)</f>
        <v xml:space="preserve"> </v>
      </c>
    </row>
    <row r="12" spans="1:18" x14ac:dyDescent="0.3">
      <c r="A12" s="195"/>
      <c r="L12" s="1">
        <f>'PA 6'!C8:C8</f>
        <v>0</v>
      </c>
    </row>
    <row r="13" spans="1:18" x14ac:dyDescent="0.3">
      <c r="A13" s="195"/>
      <c r="L13" s="1">
        <f>'PA 6'!C9:C9</f>
        <v>0</v>
      </c>
    </row>
    <row r="14" spans="1:18" x14ac:dyDescent="0.3">
      <c r="A14" s="195"/>
    </row>
    <row r="15" spans="1:18" x14ac:dyDescent="0.3">
      <c r="A15" s="195"/>
    </row>
    <row r="16" spans="1:18" x14ac:dyDescent="0.3">
      <c r="A16" s="195"/>
    </row>
    <row r="17" spans="1:18" x14ac:dyDescent="0.3">
      <c r="A17" s="195"/>
    </row>
    <row r="18" spans="1:18" ht="13.5" customHeight="1" x14ac:dyDescent="0.3">
      <c r="A18" s="195"/>
      <c r="R18" s="561" t="s">
        <v>233</v>
      </c>
    </row>
    <row r="19" spans="1:18" x14ac:dyDescent="0.3">
      <c r="A19" s="195">
        <v>1</v>
      </c>
      <c r="B19" s="189" t="s">
        <v>234</v>
      </c>
      <c r="C19" s="189"/>
      <c r="D19" s="189" t="s">
        <v>235</v>
      </c>
      <c r="E19" s="189"/>
      <c r="F19" s="189"/>
      <c r="G19" s="189"/>
      <c r="H19" s="189"/>
      <c r="I19" s="189"/>
      <c r="J19" s="193" t="s">
        <v>236</v>
      </c>
      <c r="K19" s="193"/>
      <c r="L19" s="189"/>
      <c r="M19" s="189"/>
      <c r="N19" s="189"/>
      <c r="Q19" s="213"/>
      <c r="R19" s="561"/>
    </row>
    <row r="20" spans="1:18" x14ac:dyDescent="0.3">
      <c r="A20" s="195"/>
      <c r="B20" s="189" t="s">
        <v>237</v>
      </c>
      <c r="C20" s="189"/>
      <c r="D20" s="189" t="s">
        <v>238</v>
      </c>
      <c r="E20" s="189"/>
      <c r="F20" s="189"/>
      <c r="G20" s="189"/>
      <c r="H20" s="189"/>
      <c r="I20" s="189"/>
      <c r="J20" s="193" t="s">
        <v>236</v>
      </c>
      <c r="K20" s="193"/>
      <c r="L20" s="189"/>
      <c r="M20" s="189"/>
      <c r="N20" s="189"/>
      <c r="Q20" s="213"/>
      <c r="R20" s="561"/>
    </row>
    <row r="21" spans="1:18" x14ac:dyDescent="0.3">
      <c r="A21" s="195"/>
      <c r="B21" s="201" t="s">
        <v>239</v>
      </c>
      <c r="C21" s="201"/>
      <c r="D21" s="201" t="s">
        <v>240</v>
      </c>
      <c r="E21" s="201"/>
      <c r="F21" s="201"/>
      <c r="G21" s="201"/>
      <c r="H21" s="201"/>
      <c r="I21" s="201"/>
      <c r="J21" s="202" t="s">
        <v>241</v>
      </c>
      <c r="K21" s="202"/>
      <c r="L21" s="201"/>
      <c r="M21" s="201"/>
      <c r="N21" s="201"/>
      <c r="O21" s="203"/>
      <c r="P21" s="203"/>
      <c r="R21" s="398">
        <f>'PA 6'!Q37-'PA 6'!Q31</f>
        <v>0</v>
      </c>
    </row>
    <row r="22" spans="1:18" ht="3" customHeight="1" x14ac:dyDescent="0.3">
      <c r="A22" s="195"/>
      <c r="B22" s="189"/>
      <c r="C22" s="189"/>
      <c r="D22" s="189"/>
      <c r="E22" s="189"/>
      <c r="F22" s="206"/>
      <c r="G22" s="206"/>
      <c r="H22" s="206"/>
      <c r="I22" s="206"/>
      <c r="J22" s="207"/>
      <c r="K22" s="207"/>
      <c r="L22" s="206"/>
      <c r="M22" s="206"/>
      <c r="N22" s="206"/>
      <c r="O22" s="208"/>
      <c r="P22" s="208"/>
      <c r="R22" s="215"/>
    </row>
    <row r="23" spans="1:18" x14ac:dyDescent="0.3">
      <c r="A23" s="195">
        <v>2</v>
      </c>
      <c r="B23" s="189" t="s">
        <v>242</v>
      </c>
      <c r="C23" s="189"/>
      <c r="D23" s="189"/>
      <c r="E23" s="189"/>
      <c r="F23" s="201" t="s">
        <v>303</v>
      </c>
      <c r="G23" s="201"/>
      <c r="H23" s="201"/>
      <c r="I23" s="203"/>
      <c r="J23" s="201"/>
      <c r="K23" s="201"/>
      <c r="L23" s="201"/>
      <c r="M23" s="201"/>
      <c r="N23" s="201"/>
      <c r="O23" s="203"/>
      <c r="P23" s="203"/>
      <c r="Q23" s="192" t="s">
        <v>244</v>
      </c>
      <c r="R23" s="399">
        <f>'PA 6'!Q31</f>
        <v>0</v>
      </c>
    </row>
    <row r="24" spans="1:18" ht="3" customHeight="1" x14ac:dyDescent="0.3">
      <c r="A24" s="195"/>
      <c r="B24" s="189"/>
      <c r="C24" s="189"/>
      <c r="D24" s="189"/>
      <c r="E24" s="189"/>
      <c r="F24" s="206"/>
      <c r="G24" s="206"/>
      <c r="H24" s="206"/>
      <c r="I24" s="208"/>
      <c r="J24" s="206"/>
      <c r="K24" s="206"/>
      <c r="L24" s="206"/>
      <c r="M24" s="206"/>
      <c r="N24" s="206"/>
      <c r="O24" s="208"/>
      <c r="P24" s="208"/>
      <c r="Q24" s="192"/>
      <c r="R24" s="215"/>
    </row>
    <row r="25" spans="1:18" x14ac:dyDescent="0.3">
      <c r="A25" s="195"/>
      <c r="B25" s="189" t="s">
        <v>245</v>
      </c>
      <c r="C25" s="189"/>
      <c r="D25" s="189"/>
      <c r="E25" s="189"/>
      <c r="F25" s="201" t="s">
        <v>304</v>
      </c>
      <c r="G25" s="201"/>
      <c r="H25" s="201"/>
      <c r="I25" s="201"/>
      <c r="J25" s="201"/>
      <c r="K25" s="201"/>
      <c r="L25" s="201"/>
      <c r="M25" s="201"/>
      <c r="N25" s="201"/>
      <c r="O25" s="203"/>
      <c r="P25" s="203"/>
      <c r="Q25" s="192" t="s">
        <v>244</v>
      </c>
      <c r="R25" s="399"/>
    </row>
    <row r="26" spans="1:18" ht="3" customHeight="1" x14ac:dyDescent="0.3">
      <c r="A26" s="195"/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Q26" s="192"/>
      <c r="R26" s="216"/>
    </row>
    <row r="27" spans="1:18" x14ac:dyDescent="0.3">
      <c r="A27" s="195"/>
      <c r="B27" s="189" t="s">
        <v>247</v>
      </c>
      <c r="C27" s="189"/>
      <c r="D27" s="189"/>
      <c r="E27" s="189"/>
      <c r="F27" s="189" t="s">
        <v>305</v>
      </c>
      <c r="G27" s="189"/>
      <c r="H27" s="189"/>
      <c r="I27" s="189"/>
      <c r="J27" s="553"/>
      <c r="K27" s="553"/>
      <c r="L27" s="553"/>
      <c r="M27" s="553"/>
      <c r="N27" s="553"/>
      <c r="O27" s="553"/>
      <c r="P27" s="553"/>
      <c r="Q27" s="192" t="s">
        <v>244</v>
      </c>
      <c r="R27" s="399"/>
    </row>
    <row r="28" spans="1:18" ht="9.75" customHeight="1" x14ac:dyDescent="0.3">
      <c r="A28" s="195"/>
      <c r="B28" s="189"/>
      <c r="C28" s="189"/>
      <c r="D28" s="189"/>
      <c r="E28" s="189"/>
      <c r="F28" s="191" t="s">
        <v>249</v>
      </c>
      <c r="G28" s="191"/>
      <c r="H28" s="191"/>
      <c r="I28" s="189"/>
      <c r="J28" s="189"/>
      <c r="K28" s="189"/>
      <c r="L28" s="189"/>
      <c r="M28" s="189"/>
      <c r="N28" s="189"/>
      <c r="R28" s="217"/>
    </row>
    <row r="29" spans="1:18" x14ac:dyDescent="0.3">
      <c r="A29" s="195">
        <v>3</v>
      </c>
      <c r="B29" s="189" t="s">
        <v>250</v>
      </c>
      <c r="C29" s="189"/>
      <c r="D29" s="189"/>
      <c r="E29" s="189"/>
      <c r="F29" s="189"/>
      <c r="G29" s="189"/>
      <c r="H29" s="189"/>
      <c r="I29" s="189"/>
      <c r="J29" s="189"/>
      <c r="K29" s="191" t="s">
        <v>249</v>
      </c>
      <c r="M29" s="189"/>
      <c r="N29" s="189"/>
      <c r="Q29" s="192" t="s">
        <v>244</v>
      </c>
      <c r="R29" s="217"/>
    </row>
    <row r="30" spans="1:18" x14ac:dyDescent="0.3">
      <c r="A30" s="195"/>
      <c r="B30" s="553"/>
      <c r="C30" s="553"/>
      <c r="D30" s="553"/>
      <c r="E30" s="553"/>
      <c r="F30" s="553"/>
      <c r="G30" s="553"/>
      <c r="H30" s="553"/>
      <c r="I30" s="553"/>
      <c r="J30" s="553"/>
      <c r="K30" s="553"/>
      <c r="L30" s="553"/>
      <c r="M30" s="553"/>
      <c r="N30" s="553"/>
      <c r="O30" s="553"/>
      <c r="P30" s="553"/>
      <c r="R30" s="399"/>
    </row>
    <row r="31" spans="1:18" ht="3" customHeight="1" x14ac:dyDescent="0.3">
      <c r="A31" s="195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R31" s="215"/>
    </row>
    <row r="32" spans="1:18" x14ac:dyDescent="0.3">
      <c r="A32" s="195">
        <v>4</v>
      </c>
      <c r="B32" s="189" t="s">
        <v>251</v>
      </c>
      <c r="C32" s="189"/>
      <c r="D32" s="189"/>
      <c r="E32" s="189"/>
      <c r="F32" s="189"/>
      <c r="G32" s="189"/>
      <c r="H32" s="189"/>
      <c r="I32" s="553"/>
      <c r="J32" s="553"/>
      <c r="K32" s="553"/>
      <c r="L32" s="553"/>
      <c r="M32" s="553"/>
      <c r="N32" s="553"/>
      <c r="O32" s="553"/>
      <c r="P32" s="553"/>
      <c r="Q32" s="192" t="s">
        <v>244</v>
      </c>
      <c r="R32" s="399"/>
    </row>
    <row r="33" spans="1:18" ht="9" customHeight="1" x14ac:dyDescent="0.3">
      <c r="A33" s="195"/>
      <c r="B33" s="191" t="s">
        <v>249</v>
      </c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R33" s="217"/>
    </row>
    <row r="34" spans="1:18" x14ac:dyDescent="0.3">
      <c r="A34" s="195">
        <v>5</v>
      </c>
      <c r="B34" s="201" t="s">
        <v>252</v>
      </c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3"/>
      <c r="P34" s="203"/>
      <c r="Q34" s="192" t="s">
        <v>244</v>
      </c>
      <c r="R34" s="399"/>
    </row>
    <row r="35" spans="1:18" ht="3" customHeight="1" x14ac:dyDescent="0.3">
      <c r="A35" s="195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Q35" s="192"/>
      <c r="R35" s="216"/>
    </row>
    <row r="36" spans="1:18" x14ac:dyDescent="0.3">
      <c r="A36" s="195">
        <v>6</v>
      </c>
      <c r="B36" s="201" t="s">
        <v>253</v>
      </c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3"/>
      <c r="P36" s="203"/>
      <c r="Q36" s="192" t="s">
        <v>244</v>
      </c>
      <c r="R36" s="399"/>
    </row>
    <row r="37" spans="1:18" ht="3" customHeight="1" x14ac:dyDescent="0.3">
      <c r="A37" s="195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Q37" s="192"/>
      <c r="R37" s="216"/>
    </row>
    <row r="38" spans="1:18" x14ac:dyDescent="0.3">
      <c r="A38" s="195">
        <v>7</v>
      </c>
      <c r="B38" s="189" t="s">
        <v>254</v>
      </c>
      <c r="C38" s="189"/>
      <c r="D38" s="189"/>
      <c r="E38" s="189"/>
      <c r="F38" s="189"/>
      <c r="G38" s="189"/>
      <c r="H38" s="189"/>
      <c r="I38" s="553"/>
      <c r="J38" s="553"/>
      <c r="K38" s="553"/>
      <c r="L38" s="553"/>
      <c r="M38" s="553"/>
      <c r="N38" s="553"/>
      <c r="O38" s="553"/>
      <c r="P38" s="553"/>
      <c r="Q38" s="192" t="s">
        <v>244</v>
      </c>
      <c r="R38" s="399"/>
    </row>
    <row r="39" spans="1:18" ht="9" customHeight="1" x14ac:dyDescent="0.3">
      <c r="A39" s="195"/>
      <c r="B39" s="191" t="s">
        <v>249</v>
      </c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R39" s="217"/>
    </row>
    <row r="40" spans="1:18" x14ac:dyDescent="0.3">
      <c r="A40" s="195">
        <v>8</v>
      </c>
      <c r="B40" s="201" t="s">
        <v>255</v>
      </c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3"/>
      <c r="P40" s="203"/>
      <c r="Q40" s="192" t="s">
        <v>256</v>
      </c>
      <c r="R40" s="399">
        <f>SUM(R21:R39)</f>
        <v>0</v>
      </c>
    </row>
    <row r="41" spans="1:18" ht="3" customHeight="1" x14ac:dyDescent="0.3">
      <c r="A41" s="195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Q41" s="192"/>
      <c r="R41" s="216"/>
    </row>
    <row r="42" spans="1:18" x14ac:dyDescent="0.3">
      <c r="A42" s="195">
        <v>9</v>
      </c>
      <c r="B42" s="201" t="s">
        <v>257</v>
      </c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3"/>
      <c r="P42" s="203"/>
      <c r="Q42" s="192" t="s">
        <v>44</v>
      </c>
      <c r="R42" s="399">
        <f>('PA 6'!Q40+'PA 6'!Q41+'PA 6'!Q42)*-1</f>
        <v>0</v>
      </c>
    </row>
    <row r="43" spans="1:18" ht="3" customHeight="1" x14ac:dyDescent="0.3">
      <c r="A43" s="195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Q43" s="192"/>
      <c r="R43" s="216"/>
    </row>
    <row r="44" spans="1:18" x14ac:dyDescent="0.3">
      <c r="A44" s="195">
        <v>10</v>
      </c>
      <c r="B44" s="189" t="s">
        <v>258</v>
      </c>
      <c r="C44" s="189"/>
      <c r="D44" s="189"/>
      <c r="E44" s="189" t="s">
        <v>259</v>
      </c>
      <c r="F44" s="189"/>
      <c r="G44" s="189"/>
      <c r="H44" s="201" t="s">
        <v>306</v>
      </c>
      <c r="I44" s="203"/>
      <c r="J44" s="201"/>
      <c r="K44" s="201"/>
      <c r="L44" s="201"/>
      <c r="M44" s="201"/>
      <c r="N44" s="201"/>
      <c r="O44" s="203"/>
      <c r="P44" s="203"/>
      <c r="Q44" s="192" t="s">
        <v>44</v>
      </c>
      <c r="R44" s="399">
        <f>'PA 6'!Q44*-1</f>
        <v>0</v>
      </c>
    </row>
    <row r="45" spans="1:18" x14ac:dyDescent="0.3">
      <c r="A45" s="195"/>
      <c r="B45" s="189" t="s">
        <v>261</v>
      </c>
      <c r="C45" s="189"/>
      <c r="D45" s="189"/>
      <c r="E45" s="189" t="s">
        <v>307</v>
      </c>
      <c r="F45" s="189"/>
      <c r="G45" s="189"/>
      <c r="H45" s="189"/>
      <c r="J45" s="189"/>
      <c r="K45" s="189"/>
      <c r="L45" s="189"/>
      <c r="M45" s="189"/>
      <c r="N45" s="189"/>
      <c r="R45" s="217"/>
    </row>
    <row r="46" spans="1:18" x14ac:dyDescent="0.3">
      <c r="A46" s="195"/>
      <c r="B46" s="189" t="s">
        <v>263</v>
      </c>
      <c r="C46" s="189"/>
      <c r="E46" s="189" t="s">
        <v>308</v>
      </c>
      <c r="H46" s="201" t="s">
        <v>309</v>
      </c>
      <c r="I46" s="203"/>
      <c r="J46" s="203"/>
      <c r="K46" s="203"/>
      <c r="L46" s="203"/>
      <c r="M46" s="203"/>
      <c r="N46" s="203"/>
      <c r="O46" s="203"/>
      <c r="P46" s="203"/>
      <c r="Q46" s="192" t="s">
        <v>44</v>
      </c>
      <c r="R46" s="399"/>
    </row>
    <row r="47" spans="1:18" ht="3" customHeight="1" x14ac:dyDescent="0.3">
      <c r="A47" s="195"/>
      <c r="B47" s="189"/>
      <c r="C47" s="189"/>
      <c r="E47" s="189"/>
      <c r="H47" s="189"/>
      <c r="Q47" s="192"/>
      <c r="R47" s="216"/>
    </row>
    <row r="48" spans="1:18" x14ac:dyDescent="0.3">
      <c r="A48" s="195">
        <v>11</v>
      </c>
      <c r="B48" s="204" t="s">
        <v>266</v>
      </c>
      <c r="C48" s="201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3"/>
      <c r="O48" s="203"/>
      <c r="P48" s="203"/>
      <c r="Q48" s="192" t="s">
        <v>256</v>
      </c>
      <c r="R48" s="399">
        <f>R40-SUM(R42:R46)</f>
        <v>0</v>
      </c>
    </row>
    <row r="49" spans="1:18" ht="9" customHeight="1" x14ac:dyDescent="0.3">
      <c r="A49" s="195"/>
      <c r="B49" s="196" t="s">
        <v>267</v>
      </c>
      <c r="C49" s="189"/>
      <c r="R49" s="217"/>
    </row>
    <row r="50" spans="1:18" x14ac:dyDescent="0.3">
      <c r="A50" s="195">
        <v>12</v>
      </c>
      <c r="B50" s="201" t="s">
        <v>268</v>
      </c>
      <c r="C50" s="201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R50" s="399">
        <f>'PA 6'!Q46*-1</f>
        <v>0</v>
      </c>
    </row>
    <row r="51" spans="1:18" x14ac:dyDescent="0.3">
      <c r="A51" s="195">
        <v>13</v>
      </c>
      <c r="B51" s="189" t="s">
        <v>269</v>
      </c>
      <c r="C51" s="189"/>
      <c r="R51" s="218"/>
    </row>
    <row r="52" spans="1:18" ht="9" customHeight="1" x14ac:dyDescent="0.3">
      <c r="B52" s="191" t="s">
        <v>270</v>
      </c>
      <c r="R52" s="218"/>
    </row>
    <row r="53" spans="1:18" ht="13.5" customHeight="1" x14ac:dyDescent="0.3">
      <c r="A53" s="562">
        <v>13.1</v>
      </c>
      <c r="B53" s="562"/>
      <c r="C53" s="564" t="s">
        <v>271</v>
      </c>
      <c r="D53" s="197" t="s">
        <v>272</v>
      </c>
      <c r="E53" s="201" t="s">
        <v>273</v>
      </c>
      <c r="F53" s="201"/>
      <c r="G53" s="201"/>
      <c r="H53" s="201"/>
      <c r="I53" s="203"/>
      <c r="J53" s="203"/>
      <c r="K53" s="203"/>
      <c r="L53" s="203"/>
      <c r="M53" s="203"/>
      <c r="N53" s="203"/>
      <c r="O53" s="203"/>
      <c r="P53" s="395" t="s">
        <v>216</v>
      </c>
      <c r="R53" s="401"/>
    </row>
    <row r="54" spans="1:18" ht="3" customHeight="1" x14ac:dyDescent="0.3">
      <c r="A54" s="210"/>
      <c r="B54" s="210"/>
      <c r="C54" s="564"/>
      <c r="D54" s="197"/>
      <c r="E54" s="189"/>
      <c r="F54" s="189"/>
      <c r="G54" s="189"/>
      <c r="H54" s="189"/>
      <c r="R54" s="219"/>
    </row>
    <row r="55" spans="1:18" x14ac:dyDescent="0.3">
      <c r="A55" s="195"/>
      <c r="B55" s="195"/>
      <c r="C55" s="564"/>
      <c r="D55" s="198" t="s">
        <v>274</v>
      </c>
      <c r="E55" s="189" t="s">
        <v>275</v>
      </c>
      <c r="F55" s="189"/>
      <c r="G55" s="189"/>
      <c r="H55" s="189"/>
      <c r="I55" s="554"/>
      <c r="J55" s="554"/>
      <c r="K55" s="554"/>
      <c r="L55" s="554"/>
      <c r="M55" s="554"/>
      <c r="N55" s="554"/>
      <c r="O55" s="554"/>
      <c r="P55" s="554"/>
      <c r="R55" s="401"/>
    </row>
    <row r="56" spans="1:18" ht="9" customHeight="1" x14ac:dyDescent="0.3">
      <c r="A56" s="195"/>
      <c r="B56" s="195"/>
      <c r="C56" s="564"/>
      <c r="D56" s="199"/>
      <c r="E56" s="194" t="s">
        <v>249</v>
      </c>
      <c r="R56" s="218"/>
    </row>
    <row r="57" spans="1:18" x14ac:dyDescent="0.3">
      <c r="A57" s="563">
        <v>13.2</v>
      </c>
      <c r="B57" s="563"/>
      <c r="C57" s="189" t="s">
        <v>276</v>
      </c>
      <c r="D57" s="198" t="s">
        <v>277</v>
      </c>
      <c r="E57" s="201" t="s">
        <v>278</v>
      </c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R57" s="401"/>
    </row>
    <row r="58" spans="1:18" ht="3" customHeight="1" x14ac:dyDescent="0.3">
      <c r="A58" s="211"/>
      <c r="B58" s="211"/>
      <c r="C58" s="189"/>
      <c r="D58" s="198"/>
      <c r="E58" s="189"/>
      <c r="R58" s="220"/>
    </row>
    <row r="59" spans="1:18" x14ac:dyDescent="0.3">
      <c r="A59" s="195"/>
      <c r="B59" s="195"/>
      <c r="C59" s="189" t="s">
        <v>279</v>
      </c>
      <c r="D59" s="198" t="s">
        <v>280</v>
      </c>
      <c r="E59" s="201" t="s">
        <v>281</v>
      </c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R59" s="401"/>
    </row>
    <row r="60" spans="1:18" ht="3" customHeight="1" x14ac:dyDescent="0.3">
      <c r="A60" s="195"/>
      <c r="B60" s="195"/>
      <c r="C60" s="189"/>
      <c r="D60" s="198"/>
      <c r="E60" s="189"/>
      <c r="I60" s="208"/>
      <c r="J60" s="208"/>
      <c r="K60" s="208"/>
      <c r="L60" s="208"/>
      <c r="M60" s="208"/>
      <c r="N60" s="208"/>
      <c r="O60" s="208"/>
      <c r="P60" s="208"/>
      <c r="R60" s="220"/>
    </row>
    <row r="61" spans="1:18" x14ac:dyDescent="0.3">
      <c r="A61" s="195"/>
      <c r="B61" s="195"/>
      <c r="C61" s="189" t="s">
        <v>282</v>
      </c>
      <c r="D61" s="198" t="s">
        <v>283</v>
      </c>
      <c r="E61" s="189" t="s">
        <v>275</v>
      </c>
      <c r="I61" s="554"/>
      <c r="J61" s="554"/>
      <c r="K61" s="554"/>
      <c r="L61" s="554"/>
      <c r="M61" s="554"/>
      <c r="N61" s="554"/>
      <c r="O61" s="554"/>
      <c r="P61" s="554"/>
      <c r="R61" s="401"/>
    </row>
    <row r="62" spans="1:18" ht="9" customHeight="1" x14ac:dyDescent="0.3">
      <c r="B62" s="189"/>
      <c r="C62" s="189"/>
      <c r="E62" s="194" t="s">
        <v>249</v>
      </c>
      <c r="R62" s="218"/>
    </row>
    <row r="63" spans="1:18" x14ac:dyDescent="0.3">
      <c r="A63" s="562">
        <v>13.3</v>
      </c>
      <c r="B63" s="562"/>
      <c r="C63" s="201" t="s">
        <v>284</v>
      </c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R63" s="401"/>
    </row>
    <row r="64" spans="1:18" ht="3" customHeight="1" x14ac:dyDescent="0.3">
      <c r="A64" s="210"/>
      <c r="B64" s="210"/>
      <c r="C64" s="189"/>
    </row>
    <row r="65" spans="1:18" x14ac:dyDescent="0.3">
      <c r="A65" s="195">
        <v>14</v>
      </c>
      <c r="B65" s="189" t="s">
        <v>285</v>
      </c>
      <c r="C65" s="189"/>
      <c r="F65" s="189" t="s">
        <v>286</v>
      </c>
      <c r="G65" s="189"/>
      <c r="H65" s="189"/>
      <c r="I65" s="554"/>
      <c r="J65" s="554"/>
      <c r="K65" s="554"/>
      <c r="L65" s="554"/>
      <c r="M65" s="554"/>
      <c r="N65" s="554"/>
      <c r="O65" s="554"/>
      <c r="P65" s="554"/>
      <c r="Q65" s="554"/>
      <c r="R65" s="554"/>
    </row>
    <row r="66" spans="1:18" ht="3" customHeight="1" x14ac:dyDescent="0.3">
      <c r="A66" s="195"/>
      <c r="B66" s="189"/>
      <c r="C66" s="189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2"/>
      <c r="O66" s="212"/>
      <c r="P66" s="212"/>
      <c r="Q66" s="212"/>
      <c r="R66" s="212"/>
    </row>
    <row r="67" spans="1:18" x14ac:dyDescent="0.3">
      <c r="A67" s="195"/>
      <c r="B67" s="189" t="s">
        <v>287</v>
      </c>
      <c r="C67" s="189"/>
      <c r="F67" s="189" t="s">
        <v>288</v>
      </c>
      <c r="G67" s="189"/>
      <c r="H67" s="189"/>
      <c r="I67" s="554"/>
      <c r="J67" s="554"/>
      <c r="K67" s="554"/>
      <c r="L67" s="554"/>
      <c r="M67" s="554"/>
      <c r="N67" s="554"/>
      <c r="O67" s="554"/>
      <c r="P67" s="554"/>
      <c r="Q67" s="554"/>
      <c r="R67" s="554"/>
    </row>
    <row r="68" spans="1:18" ht="3" customHeight="1" x14ac:dyDescent="0.3">
      <c r="A68" s="195"/>
      <c r="B68" s="189"/>
      <c r="C68" s="189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2"/>
      <c r="Q68" s="212"/>
      <c r="R68" s="212"/>
    </row>
    <row r="69" spans="1:18" x14ac:dyDescent="0.3">
      <c r="A69" s="195"/>
      <c r="B69" s="189" t="s">
        <v>289</v>
      </c>
      <c r="C69" s="189"/>
      <c r="F69" s="189" t="s">
        <v>290</v>
      </c>
      <c r="G69" s="189"/>
      <c r="H69" s="189"/>
      <c r="I69" s="554"/>
      <c r="J69" s="554"/>
      <c r="K69" s="554"/>
      <c r="L69" s="554"/>
      <c r="M69" s="554"/>
      <c r="N69" s="554"/>
      <c r="O69" s="554"/>
      <c r="P69" s="554"/>
      <c r="Q69" s="554"/>
      <c r="R69" s="554"/>
    </row>
    <row r="70" spans="1:18" ht="3" customHeight="1" x14ac:dyDescent="0.3">
      <c r="A70" s="195"/>
      <c r="B70" s="189"/>
      <c r="C70" s="189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2"/>
      <c r="O70" s="212"/>
      <c r="P70" s="212"/>
      <c r="Q70" s="212"/>
      <c r="R70" s="212"/>
    </row>
    <row r="71" spans="1:18" x14ac:dyDescent="0.3">
      <c r="A71" s="195">
        <v>15</v>
      </c>
      <c r="B71" s="189" t="s">
        <v>291</v>
      </c>
      <c r="C71" s="189"/>
      <c r="D71" s="556" t="str">
        <f>IF('PA 6'!L7&lt;100%,"Taux d'occupation "&amp;('PA 6'!L7+'PA 6'!L12)*100&amp;"%","")</f>
        <v>Taux d'occupation 0%</v>
      </c>
      <c r="E71" s="556"/>
      <c r="F71" s="556"/>
      <c r="G71" s="556"/>
      <c r="H71" s="556"/>
      <c r="I71" s="556"/>
      <c r="J71" s="556"/>
      <c r="K71" s="556"/>
      <c r="L71" s="556"/>
      <c r="M71" s="556"/>
      <c r="N71" s="556"/>
      <c r="O71" s="556"/>
      <c r="P71" s="556"/>
      <c r="Q71" s="556"/>
      <c r="R71" s="556"/>
    </row>
    <row r="72" spans="1:18" ht="3" customHeight="1" x14ac:dyDescent="0.3">
      <c r="A72" s="195"/>
      <c r="B72" s="189"/>
      <c r="C72" s="189"/>
      <c r="D72" s="223"/>
      <c r="E72" s="223"/>
      <c r="F72" s="223"/>
      <c r="G72" s="223"/>
      <c r="H72" s="223"/>
      <c r="I72" s="223"/>
      <c r="J72" s="223"/>
      <c r="K72" s="223"/>
      <c r="L72" s="223"/>
      <c r="M72" s="223"/>
      <c r="N72" s="223"/>
      <c r="O72" s="223"/>
      <c r="P72" s="223"/>
      <c r="Q72" s="223"/>
      <c r="R72" s="223"/>
    </row>
    <row r="73" spans="1:18" x14ac:dyDescent="0.3">
      <c r="A73" s="195"/>
      <c r="B73" s="189" t="s">
        <v>292</v>
      </c>
      <c r="C73" s="189"/>
      <c r="D73" s="557"/>
      <c r="E73" s="557"/>
      <c r="F73" s="557"/>
      <c r="G73" s="557"/>
      <c r="H73" s="557"/>
      <c r="I73" s="557"/>
      <c r="J73" s="557"/>
      <c r="K73" s="557"/>
      <c r="L73" s="557"/>
      <c r="M73" s="557"/>
      <c r="N73" s="557"/>
      <c r="O73" s="557"/>
      <c r="P73" s="557"/>
      <c r="Q73" s="557"/>
      <c r="R73" s="557"/>
    </row>
    <row r="74" spans="1:18" ht="3" customHeight="1" x14ac:dyDescent="0.3">
      <c r="A74" s="195"/>
      <c r="B74" s="189"/>
      <c r="C74" s="189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</row>
    <row r="75" spans="1:18" x14ac:dyDescent="0.3">
      <c r="A75" s="195"/>
      <c r="B75" s="189" t="s">
        <v>293</v>
      </c>
      <c r="C75" s="189"/>
      <c r="D75" s="557"/>
      <c r="E75" s="557"/>
      <c r="F75" s="557"/>
      <c r="G75" s="557"/>
      <c r="H75" s="557"/>
      <c r="I75" s="557"/>
      <c r="J75" s="557"/>
      <c r="K75" s="557"/>
      <c r="L75" s="557"/>
      <c r="M75" s="557"/>
      <c r="N75" s="557"/>
      <c r="O75" s="557"/>
      <c r="P75" s="557"/>
      <c r="Q75" s="557"/>
      <c r="R75" s="557"/>
    </row>
    <row r="76" spans="1:18" x14ac:dyDescent="0.3">
      <c r="A76" s="195"/>
      <c r="B76" s="189"/>
      <c r="C76" s="189"/>
    </row>
    <row r="77" spans="1:18" x14ac:dyDescent="0.3">
      <c r="A77" s="195" t="s">
        <v>294</v>
      </c>
      <c r="B77" s="189" t="s">
        <v>295</v>
      </c>
      <c r="C77" s="189"/>
      <c r="F77" s="189" t="s">
        <v>296</v>
      </c>
      <c r="G77" s="189"/>
      <c r="M77" s="565">
        <f>'Attestation du salaire (ord.)'!A8:A8</f>
        <v>0</v>
      </c>
      <c r="N77" s="565"/>
      <c r="O77" s="565"/>
      <c r="P77" s="565"/>
      <c r="Q77" s="565"/>
      <c r="R77" s="565"/>
    </row>
    <row r="78" spans="1:18" ht="9" customHeight="1" x14ac:dyDescent="0.3">
      <c r="B78" s="189"/>
      <c r="C78" s="189"/>
      <c r="F78" s="191" t="s">
        <v>297</v>
      </c>
      <c r="G78" s="191"/>
      <c r="M78" s="221"/>
      <c r="N78" s="221"/>
      <c r="O78" s="221"/>
      <c r="P78" s="221"/>
      <c r="Q78" s="221"/>
      <c r="R78" s="221"/>
    </row>
    <row r="79" spans="1:18" x14ac:dyDescent="0.3">
      <c r="B79" s="555"/>
      <c r="C79" s="555"/>
      <c r="D79" s="555"/>
      <c r="F79" s="189" t="s">
        <v>298</v>
      </c>
      <c r="G79" s="189"/>
      <c r="M79" s="498">
        <f>'Attestation du salaire (ord.)'!A9:A9</f>
        <v>0</v>
      </c>
      <c r="N79" s="498"/>
      <c r="O79" s="498"/>
      <c r="P79" s="498"/>
      <c r="Q79" s="498"/>
      <c r="R79" s="498"/>
    </row>
    <row r="80" spans="1:18" ht="9" customHeight="1" x14ac:dyDescent="0.3">
      <c r="B80" s="189"/>
      <c r="C80" s="189"/>
      <c r="F80" s="191" t="s">
        <v>299</v>
      </c>
      <c r="G80" s="191"/>
      <c r="M80" s="221"/>
      <c r="N80" s="221"/>
      <c r="O80" s="221"/>
      <c r="P80" s="221"/>
      <c r="Q80" s="221"/>
      <c r="R80" s="221"/>
    </row>
    <row r="81" spans="2:18" ht="13.5" customHeight="1" x14ac:dyDescent="0.3">
      <c r="B81" s="189"/>
      <c r="C81" s="189"/>
      <c r="F81" s="189" t="s">
        <v>300</v>
      </c>
      <c r="G81" s="189"/>
      <c r="M81" s="565">
        <f>'Attestation du salaire (ord.)'!A10:A10</f>
        <v>0</v>
      </c>
      <c r="N81" s="565"/>
      <c r="O81" s="565"/>
      <c r="P81" s="565"/>
      <c r="Q81" s="565"/>
      <c r="R81" s="565"/>
    </row>
    <row r="82" spans="2:18" ht="9" customHeight="1" x14ac:dyDescent="0.3">
      <c r="B82" s="189"/>
      <c r="C82" s="189"/>
      <c r="F82" s="191" t="s">
        <v>301</v>
      </c>
      <c r="G82" s="191"/>
      <c r="M82" s="222"/>
      <c r="N82" s="222"/>
      <c r="O82" s="222"/>
      <c r="P82" s="222"/>
      <c r="Q82" s="222"/>
      <c r="R82" s="222"/>
    </row>
    <row r="83" spans="2:18" ht="13.5" customHeight="1" x14ac:dyDescent="0.3">
      <c r="B83" s="189"/>
      <c r="C83" s="189"/>
      <c r="I83" s="189"/>
      <c r="M83" s="565" t="str">
        <f>'CS 1'!M83:R83</f>
        <v>Entrez le numéro de téléphone ici</v>
      </c>
      <c r="N83" s="565"/>
      <c r="O83" s="565"/>
      <c r="P83" s="565"/>
      <c r="Q83" s="565"/>
      <c r="R83" s="565"/>
    </row>
    <row r="84" spans="2:18" x14ac:dyDescent="0.3">
      <c r="B84" s="189"/>
      <c r="C84" s="189"/>
    </row>
  </sheetData>
  <sheetProtection algorithmName="SHA-512" hashValue="iFkJRRLLR3DnADm6jDle5CYkesSQDM06GpH4FL+iT7yTtSWTmSOyVZyxj0Svi+vMUJcAjZaFUtYHA8l5GF0kcg==" saltValue="ru9XMdrIsPdK2FwMED3NsA==" spinCount="100000" sheet="1" objects="1" scenarios="1"/>
  <mergeCells count="28">
    <mergeCell ref="O5:R6"/>
    <mergeCell ref="B7:C7"/>
    <mergeCell ref="I7:J7"/>
    <mergeCell ref="O7:R8"/>
    <mergeCell ref="H5:K5"/>
    <mergeCell ref="B5:F5"/>
    <mergeCell ref="I69:R69"/>
    <mergeCell ref="R18:R20"/>
    <mergeCell ref="J27:P27"/>
    <mergeCell ref="B30:P30"/>
    <mergeCell ref="I32:P32"/>
    <mergeCell ref="I38:P38"/>
    <mergeCell ref="A53:B53"/>
    <mergeCell ref="C53:C56"/>
    <mergeCell ref="I55:P55"/>
    <mergeCell ref="A57:B57"/>
    <mergeCell ref="I61:P61"/>
    <mergeCell ref="A63:B63"/>
    <mergeCell ref="I65:R65"/>
    <mergeCell ref="I67:R67"/>
    <mergeCell ref="M83:R83"/>
    <mergeCell ref="D71:R71"/>
    <mergeCell ref="D73:R73"/>
    <mergeCell ref="D75:R75"/>
    <mergeCell ref="M77:R77"/>
    <mergeCell ref="M79:R79"/>
    <mergeCell ref="M81:R81"/>
    <mergeCell ref="B79:D79"/>
  </mergeCells>
  <pageMargins left="0.39370078740157483" right="7.874015748031496E-2" top="0.39370078740157483" bottom="0.39370078740157483" header="0.31496062992125984" footer="0.31496062992125984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0"/>
  <sheetViews>
    <sheetView showGridLines="0" zoomScaleNormal="100" workbookViewId="0"/>
  </sheetViews>
  <sheetFormatPr baseColWidth="10" defaultColWidth="11.453125" defaultRowHeight="18" customHeight="1" x14ac:dyDescent="0.3"/>
  <cols>
    <col min="1" max="1" width="2.54296875" style="341" customWidth="1"/>
    <col min="2" max="3" width="12.7265625" style="341" customWidth="1"/>
    <col min="4" max="4" width="5" style="341" customWidth="1"/>
    <col min="5" max="10" width="12.7265625" style="341" customWidth="1"/>
    <col min="11" max="11" width="19.7265625" style="341" customWidth="1"/>
    <col min="12" max="16384" width="11.453125" style="341"/>
  </cols>
  <sheetData>
    <row r="1" spans="1:11" s="431" customFormat="1" ht="21" customHeight="1" x14ac:dyDescent="0.3">
      <c r="A1" s="368" t="str">
        <f>"Informations pour l'utilisation du programm de salaires "&amp;Grundlagen!$D$1</f>
        <v>Informations pour l'utilisation du programm de salaires 2026</v>
      </c>
    </row>
    <row r="3" spans="1:11" ht="18" customHeight="1" x14ac:dyDescent="0.3">
      <c r="A3" s="346" t="s">
        <v>9</v>
      </c>
      <c r="B3" s="347"/>
      <c r="C3" s="348"/>
      <c r="D3" s="348"/>
      <c r="E3" s="348"/>
      <c r="F3" s="348"/>
      <c r="G3" s="348"/>
      <c r="H3" s="348"/>
      <c r="I3" s="348"/>
      <c r="J3" s="348"/>
      <c r="K3" s="349"/>
    </row>
    <row r="4" spans="1:11" ht="75" customHeight="1" x14ac:dyDescent="0.3">
      <c r="A4" s="350"/>
      <c r="B4" s="453" t="s">
        <v>10</v>
      </c>
      <c r="C4" s="453"/>
      <c r="D4" s="453"/>
      <c r="E4" s="453"/>
      <c r="F4" s="453"/>
      <c r="G4" s="453"/>
      <c r="H4" s="453"/>
      <c r="I4" s="453"/>
      <c r="J4" s="453"/>
      <c r="K4" s="454"/>
    </row>
    <row r="5" spans="1:11" ht="18" customHeight="1" x14ac:dyDescent="0.3">
      <c r="A5" s="350"/>
      <c r="B5" s="341" t="s">
        <v>11</v>
      </c>
      <c r="E5" s="222"/>
      <c r="F5" s="362" t="s">
        <v>12</v>
      </c>
      <c r="G5" s="456" t="s">
        <v>13</v>
      </c>
      <c r="H5" s="456"/>
      <c r="I5" s="456"/>
      <c r="J5" s="456"/>
      <c r="K5" s="457"/>
    </row>
    <row r="6" spans="1:11" ht="12.75" customHeight="1" x14ac:dyDescent="0.25">
      <c r="A6" s="350"/>
      <c r="F6" s="362"/>
      <c r="G6" s="455"/>
      <c r="H6" s="455"/>
      <c r="I6" s="455"/>
      <c r="J6" s="455"/>
      <c r="K6" s="351"/>
    </row>
    <row r="7" spans="1:11" ht="18" customHeight="1" x14ac:dyDescent="0.3">
      <c r="A7" s="350"/>
      <c r="B7" s="343"/>
      <c r="C7" s="341" t="s">
        <v>14</v>
      </c>
      <c r="K7" s="351"/>
    </row>
    <row r="8" spans="1:11" ht="7.5" customHeight="1" x14ac:dyDescent="0.3">
      <c r="A8" s="350"/>
      <c r="K8" s="351"/>
    </row>
    <row r="9" spans="1:11" ht="18" customHeight="1" x14ac:dyDescent="0.3">
      <c r="A9" s="345"/>
      <c r="B9" s="453" t="s">
        <v>15</v>
      </c>
      <c r="C9" s="453"/>
      <c r="D9" s="453"/>
      <c r="E9" s="453"/>
      <c r="F9" s="453"/>
      <c r="G9" s="453"/>
      <c r="H9" s="453"/>
      <c r="I9" s="453"/>
      <c r="J9" s="453"/>
      <c r="K9" s="454"/>
    </row>
    <row r="10" spans="1:11" ht="18" customHeight="1" x14ac:dyDescent="0.3">
      <c r="A10" s="345"/>
      <c r="B10" s="453"/>
      <c r="C10" s="453"/>
      <c r="D10" s="453"/>
      <c r="E10" s="453"/>
      <c r="F10" s="453"/>
      <c r="G10" s="453"/>
      <c r="H10" s="453"/>
      <c r="I10" s="453"/>
      <c r="J10" s="453"/>
      <c r="K10" s="454"/>
    </row>
    <row r="11" spans="1:11" ht="28.5" customHeight="1" x14ac:dyDescent="0.3">
      <c r="A11" s="345"/>
      <c r="B11" s="453" t="s">
        <v>16</v>
      </c>
      <c r="C11" s="453"/>
      <c r="D11" s="453"/>
      <c r="E11" s="453"/>
      <c r="F11" s="453"/>
      <c r="G11" s="453"/>
      <c r="H11" s="453"/>
      <c r="I11" s="453"/>
      <c r="J11" s="453"/>
      <c r="K11" s="454"/>
    </row>
    <row r="12" spans="1:11" ht="18" customHeight="1" x14ac:dyDescent="0.3">
      <c r="A12" s="350"/>
      <c r="B12" s="344" t="s">
        <v>17</v>
      </c>
      <c r="C12" s="432" t="s">
        <v>18</v>
      </c>
      <c r="D12" s="433"/>
      <c r="E12" s="341" t="s">
        <v>19</v>
      </c>
      <c r="F12" s="352"/>
      <c r="K12" s="351"/>
    </row>
    <row r="13" spans="1:11" ht="9" customHeight="1" x14ac:dyDescent="0.3">
      <c r="A13" s="353"/>
      <c r="B13" s="354"/>
      <c r="C13" s="354"/>
      <c r="D13" s="354"/>
      <c r="E13" s="354"/>
      <c r="F13" s="354"/>
      <c r="G13" s="354"/>
      <c r="H13" s="354"/>
      <c r="I13" s="354"/>
      <c r="J13" s="354"/>
      <c r="K13" s="356"/>
    </row>
    <row r="14" spans="1:11" ht="18" customHeight="1" x14ac:dyDescent="0.3">
      <c r="F14" s="342"/>
    </row>
    <row r="15" spans="1:11" ht="18" customHeight="1" x14ac:dyDescent="0.3">
      <c r="A15" s="346" t="s">
        <v>20</v>
      </c>
      <c r="B15" s="348"/>
      <c r="C15" s="348"/>
      <c r="D15" s="348"/>
      <c r="E15" s="348"/>
      <c r="F15" s="348"/>
      <c r="G15" s="348"/>
      <c r="H15" s="348"/>
      <c r="I15" s="357" t="s">
        <v>21</v>
      </c>
      <c r="J15" s="348"/>
      <c r="K15" s="349"/>
    </row>
    <row r="16" spans="1:11" ht="18" customHeight="1" x14ac:dyDescent="0.3">
      <c r="A16" s="350"/>
      <c r="B16" s="341" t="s">
        <v>22</v>
      </c>
      <c r="F16" s="352"/>
      <c r="K16" s="351"/>
    </row>
    <row r="17" spans="1:11" ht="18" customHeight="1" x14ac:dyDescent="0.3">
      <c r="A17" s="350"/>
      <c r="B17" s="341" t="s">
        <v>23</v>
      </c>
      <c r="I17" s="358" t="s">
        <v>24</v>
      </c>
      <c r="K17" s="351"/>
    </row>
    <row r="18" spans="1:11" ht="18" customHeight="1" x14ac:dyDescent="0.3">
      <c r="A18" s="350"/>
      <c r="B18" s="341" t="s">
        <v>25</v>
      </c>
      <c r="I18" s="358" t="s">
        <v>26</v>
      </c>
      <c r="K18" s="351"/>
    </row>
    <row r="19" spans="1:11" ht="18" customHeight="1" x14ac:dyDescent="0.3">
      <c r="A19" s="350"/>
      <c r="B19" s="341" t="s">
        <v>27</v>
      </c>
      <c r="I19" s="358" t="s">
        <v>28</v>
      </c>
      <c r="K19" s="351"/>
    </row>
    <row r="20" spans="1:11" ht="18" customHeight="1" x14ac:dyDescent="0.3">
      <c r="A20" s="350"/>
      <c r="B20" s="341" t="s">
        <v>29</v>
      </c>
      <c r="I20" s="358" t="s">
        <v>30</v>
      </c>
      <c r="K20" s="351"/>
    </row>
    <row r="21" spans="1:11" ht="18" customHeight="1" x14ac:dyDescent="0.3">
      <c r="A21" s="353"/>
      <c r="B21" s="354" t="s">
        <v>31</v>
      </c>
      <c r="C21" s="354"/>
      <c r="D21" s="354"/>
      <c r="E21" s="354"/>
      <c r="F21" s="354"/>
      <c r="G21" s="354"/>
      <c r="H21" s="354"/>
      <c r="I21" s="359"/>
      <c r="J21" s="354"/>
      <c r="K21" s="356"/>
    </row>
    <row r="23" spans="1:11" ht="18" customHeight="1" x14ac:dyDescent="0.3">
      <c r="A23" s="346" t="s">
        <v>32</v>
      </c>
      <c r="B23" s="348"/>
      <c r="C23" s="348"/>
      <c r="D23" s="348"/>
      <c r="E23" s="348"/>
      <c r="F23" s="348"/>
      <c r="G23" s="348"/>
      <c r="H23" s="348"/>
      <c r="I23" s="348"/>
      <c r="J23" s="348"/>
      <c r="K23" s="349"/>
    </row>
    <row r="24" spans="1:11" ht="18" customHeight="1" x14ac:dyDescent="0.3">
      <c r="A24" s="350"/>
      <c r="B24" s="341" t="s">
        <v>33</v>
      </c>
      <c r="K24" s="351"/>
    </row>
    <row r="25" spans="1:11" ht="18" customHeight="1" x14ac:dyDescent="0.3">
      <c r="A25" s="350"/>
      <c r="B25" s="360" t="s">
        <v>34</v>
      </c>
      <c r="K25" s="351"/>
    </row>
    <row r="26" spans="1:11" ht="18" customHeight="1" x14ac:dyDescent="0.3">
      <c r="A26" s="350"/>
      <c r="C26" s="360" t="s">
        <v>35</v>
      </c>
      <c r="K26" s="351"/>
    </row>
    <row r="27" spans="1:11" ht="18" customHeight="1" x14ac:dyDescent="0.3">
      <c r="A27" s="350"/>
      <c r="C27" s="360" t="s">
        <v>36</v>
      </c>
      <c r="K27" s="351"/>
    </row>
    <row r="28" spans="1:11" ht="18" customHeight="1" x14ac:dyDescent="0.3">
      <c r="A28" s="350"/>
      <c r="C28" s="360" t="s">
        <v>37</v>
      </c>
      <c r="K28" s="351"/>
    </row>
    <row r="29" spans="1:11" ht="18" customHeight="1" x14ac:dyDescent="0.3">
      <c r="A29" s="353"/>
      <c r="B29" s="361" t="s">
        <v>38</v>
      </c>
      <c r="C29" s="354"/>
      <c r="D29" s="354"/>
      <c r="E29" s="354"/>
      <c r="F29" s="354"/>
      <c r="G29" s="354"/>
      <c r="H29" s="354"/>
      <c r="I29" s="359" t="s">
        <v>39</v>
      </c>
      <c r="J29" s="354"/>
      <c r="K29" s="356"/>
    </row>
    <row r="31" spans="1:11" ht="18" customHeight="1" x14ac:dyDescent="0.3">
      <c r="A31" s="346" t="s">
        <v>40</v>
      </c>
      <c r="B31" s="348"/>
      <c r="C31" s="348"/>
      <c r="D31" s="348"/>
      <c r="E31" s="348"/>
      <c r="F31" s="348"/>
      <c r="G31" s="348"/>
      <c r="H31" s="348"/>
      <c r="I31" s="348"/>
      <c r="J31" s="348"/>
      <c r="K31" s="349"/>
    </row>
    <row r="32" spans="1:11" ht="18" customHeight="1" x14ac:dyDescent="0.3">
      <c r="A32" s="350"/>
      <c r="B32" s="453" t="s">
        <v>41</v>
      </c>
      <c r="C32" s="453"/>
      <c r="D32" s="453"/>
      <c r="E32" s="453"/>
      <c r="F32" s="453"/>
      <c r="G32" s="453"/>
      <c r="H32" s="453"/>
      <c r="I32" s="453"/>
      <c r="J32" s="453"/>
      <c r="K32" s="454"/>
    </row>
    <row r="33" spans="1:11" ht="18" customHeight="1" x14ac:dyDescent="0.3">
      <c r="A33" s="350"/>
      <c r="B33" s="453"/>
      <c r="C33" s="453"/>
      <c r="D33" s="453"/>
      <c r="E33" s="453"/>
      <c r="F33" s="453"/>
      <c r="G33" s="453"/>
      <c r="H33" s="453"/>
      <c r="I33" s="453"/>
      <c r="J33" s="453"/>
      <c r="K33" s="454"/>
    </row>
    <row r="34" spans="1:11" ht="18" customHeight="1" x14ac:dyDescent="0.3">
      <c r="A34" s="350"/>
      <c r="B34" s="222"/>
      <c r="C34" s="222"/>
      <c r="D34" s="222"/>
      <c r="E34" s="222"/>
      <c r="F34" s="362" t="s">
        <v>12</v>
      </c>
      <c r="G34" s="363" t="s">
        <v>42</v>
      </c>
      <c r="H34" s="222"/>
      <c r="K34" s="351"/>
    </row>
    <row r="35" spans="1:11" ht="18" customHeight="1" x14ac:dyDescent="0.3">
      <c r="A35" s="350"/>
      <c r="B35" s="222"/>
      <c r="C35" s="222"/>
      <c r="D35" s="222"/>
      <c r="E35" s="222"/>
      <c r="G35" s="222"/>
      <c r="H35" s="222"/>
      <c r="K35" s="351"/>
    </row>
    <row r="36" spans="1:11" ht="18" customHeight="1" x14ac:dyDescent="0.3">
      <c r="A36" s="350"/>
      <c r="K36" s="351"/>
    </row>
    <row r="37" spans="1:11" ht="18" customHeight="1" x14ac:dyDescent="0.3">
      <c r="A37" s="353"/>
      <c r="B37" s="434"/>
      <c r="C37" s="354"/>
      <c r="D37" s="354"/>
      <c r="E37" s="354"/>
      <c r="F37" s="354"/>
      <c r="G37" s="354"/>
      <c r="H37" s="354"/>
      <c r="I37" s="354"/>
      <c r="J37" s="354"/>
      <c r="K37" s="356"/>
    </row>
    <row r="38" spans="1:11" ht="18" customHeight="1" x14ac:dyDescent="0.3">
      <c r="A38" s="435"/>
      <c r="B38" s="436"/>
      <c r="C38" s="435"/>
      <c r="D38" s="435"/>
      <c r="E38" s="435"/>
      <c r="F38" s="435"/>
      <c r="G38" s="435"/>
      <c r="H38" s="435"/>
      <c r="I38" s="435"/>
      <c r="J38" s="435"/>
      <c r="K38" s="435"/>
    </row>
    <row r="39" spans="1:11" ht="18" customHeight="1" x14ac:dyDescent="0.3">
      <c r="A39" s="346" t="s">
        <v>43</v>
      </c>
      <c r="B39" s="347"/>
      <c r="C39" s="348"/>
      <c r="D39" s="348"/>
      <c r="E39" s="348"/>
      <c r="F39" s="348"/>
      <c r="G39" s="348"/>
      <c r="H39" s="348"/>
      <c r="I39" s="348"/>
      <c r="J39" s="348"/>
      <c r="K39" s="349"/>
    </row>
    <row r="40" spans="1:11" ht="18" customHeight="1" x14ac:dyDescent="0.3">
      <c r="A40" s="437" t="s">
        <v>44</v>
      </c>
      <c r="B40" s="341" t="s">
        <v>45</v>
      </c>
      <c r="K40" s="351"/>
    </row>
    <row r="41" spans="1:11" ht="18" customHeight="1" x14ac:dyDescent="0.3">
      <c r="A41" s="438"/>
      <c r="B41" s="341" t="s">
        <v>46</v>
      </c>
      <c r="K41" s="351"/>
    </row>
    <row r="42" spans="1:11" ht="18" customHeight="1" x14ac:dyDescent="0.3">
      <c r="A42" s="439" t="s">
        <v>44</v>
      </c>
      <c r="B42" s="354" t="s">
        <v>47</v>
      </c>
      <c r="C42" s="354"/>
      <c r="D42" s="354"/>
      <c r="E42" s="354"/>
      <c r="F42" s="354"/>
      <c r="G42" s="354"/>
      <c r="H42" s="354"/>
      <c r="I42" s="354"/>
      <c r="J42" s="366"/>
      <c r="K42" s="374"/>
    </row>
    <row r="44" spans="1:11" ht="18" customHeight="1" x14ac:dyDescent="0.3">
      <c r="A44" s="346" t="s">
        <v>48</v>
      </c>
      <c r="B44" s="347"/>
      <c r="C44" s="348"/>
      <c r="D44" s="348"/>
      <c r="E44" s="348"/>
      <c r="F44" s="348"/>
      <c r="G44" s="348"/>
      <c r="H44" s="348"/>
      <c r="I44" s="348"/>
      <c r="J44" s="348"/>
      <c r="K44" s="349"/>
    </row>
    <row r="45" spans="1:11" ht="18" customHeight="1" x14ac:dyDescent="0.3">
      <c r="A45" s="364"/>
      <c r="B45" s="451" t="s">
        <v>49</v>
      </c>
      <c r="C45" s="451"/>
      <c r="D45" s="451"/>
      <c r="E45" s="451"/>
      <c r="F45" s="451"/>
      <c r="G45" s="451"/>
      <c r="H45" s="451"/>
      <c r="I45" s="451"/>
      <c r="J45" s="371"/>
      <c r="K45" s="372"/>
    </row>
    <row r="46" spans="1:11" ht="18" customHeight="1" x14ac:dyDescent="0.3">
      <c r="A46" s="365"/>
      <c r="B46" s="452"/>
      <c r="C46" s="452"/>
      <c r="D46" s="452"/>
      <c r="E46" s="452"/>
      <c r="F46" s="452"/>
      <c r="G46" s="452"/>
      <c r="H46" s="452"/>
      <c r="I46" s="452"/>
      <c r="J46" s="373"/>
      <c r="K46" s="374"/>
    </row>
    <row r="48" spans="1:11" ht="18" customHeight="1" x14ac:dyDescent="0.3">
      <c r="A48" s="346" t="s">
        <v>50</v>
      </c>
      <c r="B48" s="347"/>
      <c r="C48" s="348"/>
      <c r="D48" s="348"/>
      <c r="E48" s="348"/>
      <c r="F48" s="348"/>
      <c r="G48" s="348"/>
      <c r="H48" s="348"/>
      <c r="I48" s="348"/>
      <c r="J48" s="348"/>
      <c r="K48" s="349"/>
    </row>
    <row r="49" spans="1:11" ht="18" customHeight="1" x14ac:dyDescent="0.3">
      <c r="A49" s="350"/>
      <c r="B49" s="341" t="s">
        <v>51</v>
      </c>
      <c r="C49" s="222"/>
      <c r="D49" s="222"/>
      <c r="E49" s="222"/>
      <c r="F49" s="222"/>
      <c r="G49" s="222"/>
      <c r="H49" s="222"/>
      <c r="K49" s="351"/>
    </row>
    <row r="50" spans="1:11" ht="18" customHeight="1" x14ac:dyDescent="0.3">
      <c r="A50" s="353"/>
      <c r="B50" s="354" t="s">
        <v>52</v>
      </c>
      <c r="C50" s="355" t="s">
        <v>53</v>
      </c>
      <c r="D50" s="354"/>
      <c r="E50" s="367"/>
      <c r="F50" s="354"/>
      <c r="G50" s="367"/>
      <c r="H50" s="367"/>
      <c r="I50" s="354"/>
      <c r="J50" s="354"/>
      <c r="K50" s="356"/>
    </row>
  </sheetData>
  <sheetProtection algorithmName="SHA-512" hashValue="czLWVDd+OzPVvOx0+cerq6sCxR0D9KBx5MYzpNkBUt/YRcUGHJIrQs7rmyQtOD1a6VmQs3OJvMpmnlO25UWBlA==" saltValue="HYd/wtHYoyXOigMftCOX8A==" spinCount="100000" sheet="1" objects="1" scenarios="1"/>
  <mergeCells count="7">
    <mergeCell ref="B45:I46"/>
    <mergeCell ref="B4:K4"/>
    <mergeCell ref="B32:K33"/>
    <mergeCell ref="B9:K10"/>
    <mergeCell ref="G6:J6"/>
    <mergeCell ref="G5:K5"/>
    <mergeCell ref="B11:K11"/>
  </mergeCells>
  <hyperlinks>
    <hyperlink ref="G34" r:id="rId1" xr:uid="{C098575C-DA92-4DA1-8ED2-0C9798F1FB50}"/>
    <hyperlink ref="C50" r:id="rId2" display="info@bernermodell.ch " xr:uid="{E82057AD-6958-445C-A663-AF0118031E28}"/>
    <hyperlink ref="G5" r:id="rId3" display="Guide Programme de salaire" xr:uid="{B18EF901-E3C0-4CE9-979F-0FEC6C97A7FD}"/>
  </hyperlinks>
  <pageMargins left="0.70866141732283472" right="0.39370078740157483" top="1.1811023622047245" bottom="0.78740157480314965" header="0.31496062992125984" footer="0.31496062992125984"/>
  <pageSetup paperSize="9" scale="68" orientation="portrait" r:id="rId4"/>
  <headerFooter>
    <oddHeader>&amp;R&amp;"Arial,Standard"Koordinationsstelle&amp;"Arial,Fett"
Berner Modell &amp;"Arial,Standard"- freie Lebensgestaltung von Menschen mit Behinderungen
HelpLine 031 300 33 70 / info@bernermodell.ch</oddHeader>
    <oddFooter>&amp;L&amp;F&amp;R23.10.2020</oddFooter>
  </headerFooter>
  <drawing r:id="rId5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8" tint="0.59999389629810485"/>
    <pageSetUpPr fitToPage="1"/>
  </sheetPr>
  <dimension ref="A1:R84"/>
  <sheetViews>
    <sheetView showGridLines="0" showZeros="0" zoomScaleNormal="100" workbookViewId="0">
      <selection activeCell="C1" sqref="C1"/>
    </sheetView>
  </sheetViews>
  <sheetFormatPr baseColWidth="10" defaultColWidth="11.453125" defaultRowHeight="13" x14ac:dyDescent="0.3"/>
  <cols>
    <col min="1" max="1" width="2.453125" style="189" bestFit="1" customWidth="1"/>
    <col min="2" max="2" width="3.26953125" style="190" customWidth="1"/>
    <col min="3" max="3" width="12" style="190" customWidth="1"/>
    <col min="4" max="4" width="7.453125" style="190" customWidth="1"/>
    <col min="5" max="5" width="1.81640625" style="190" customWidth="1"/>
    <col min="6" max="6" width="10.26953125" style="190" customWidth="1"/>
    <col min="7" max="7" width="1.7265625" style="190" customWidth="1"/>
    <col min="8" max="9" width="5.7265625" style="190" customWidth="1"/>
    <col min="10" max="11" width="6.26953125" style="190" customWidth="1"/>
    <col min="12" max="12" width="4" style="190" customWidth="1"/>
    <col min="13" max="13" width="2.1796875" style="190" bestFit="1" customWidth="1"/>
    <col min="14" max="14" width="2.7265625" style="190" customWidth="1"/>
    <col min="15" max="15" width="14.7265625" style="190" customWidth="1"/>
    <col min="16" max="16" width="2.7265625" style="190" customWidth="1"/>
    <col min="17" max="17" width="1.7265625" style="190" customWidth="1"/>
    <col min="18" max="18" width="14.1796875" style="190" customWidth="1"/>
    <col min="19" max="16384" width="11.453125" style="190"/>
  </cols>
  <sheetData>
    <row r="1" spans="1:18" ht="17" x14ac:dyDescent="0.5">
      <c r="A1" s="195" t="s">
        <v>215</v>
      </c>
      <c r="B1" s="395" t="s">
        <v>216</v>
      </c>
      <c r="C1" s="214" t="s">
        <v>217</v>
      </c>
    </row>
    <row r="2" spans="1:18" ht="3" customHeight="1" x14ac:dyDescent="0.5">
      <c r="A2" s="195"/>
      <c r="C2" s="214"/>
    </row>
    <row r="3" spans="1:18" ht="17" x14ac:dyDescent="0.5">
      <c r="A3" s="195" t="s">
        <v>218</v>
      </c>
      <c r="B3" s="396"/>
      <c r="C3" s="214" t="s">
        <v>219</v>
      </c>
    </row>
    <row r="4" spans="1:18" ht="9" customHeight="1" x14ac:dyDescent="0.3">
      <c r="A4" s="195"/>
      <c r="C4" s="199"/>
    </row>
    <row r="5" spans="1:18" ht="13.5" customHeight="1" x14ac:dyDescent="0.3">
      <c r="A5" s="195" t="s">
        <v>220</v>
      </c>
      <c r="B5" s="557" t="str">
        <f>IF('PA 7'!$F$6="","",'PA 7'!$F$6)</f>
        <v/>
      </c>
      <c r="C5" s="557"/>
      <c r="D5" s="557"/>
      <c r="E5" s="557"/>
      <c r="F5" s="557"/>
      <c r="G5" s="375"/>
      <c r="H5" s="558" cm="1">
        <f t="array" ref="H5">'PA 7'!F7:F7</f>
        <v>0</v>
      </c>
      <c r="I5" s="558"/>
      <c r="J5" s="558"/>
      <c r="K5" s="558"/>
      <c r="M5" s="200" t="s">
        <v>221</v>
      </c>
      <c r="N5" s="396"/>
      <c r="O5" s="560" t="s">
        <v>222</v>
      </c>
      <c r="P5" s="560"/>
      <c r="Q5" s="560"/>
      <c r="R5" s="560"/>
    </row>
    <row r="6" spans="1:18" x14ac:dyDescent="0.3">
      <c r="A6" s="195"/>
      <c r="B6" s="194" t="s">
        <v>223</v>
      </c>
      <c r="C6" s="205"/>
      <c r="D6" s="194"/>
      <c r="E6" s="205"/>
      <c r="H6" s="194" t="s">
        <v>224</v>
      </c>
      <c r="M6" s="200"/>
      <c r="O6" s="560"/>
      <c r="P6" s="560"/>
      <c r="Q6" s="560"/>
      <c r="R6" s="560"/>
    </row>
    <row r="7" spans="1:18" ht="13.5" customHeight="1" x14ac:dyDescent="0.3">
      <c r="A7" s="195" t="s">
        <v>225</v>
      </c>
      <c r="B7" s="559">
        <f>'PA 7'!A21</f>
        <v>46387</v>
      </c>
      <c r="C7" s="559"/>
      <c r="E7" s="195" t="s">
        <v>226</v>
      </c>
      <c r="F7" s="397">
        <f>IF('PA 7'!$Q$37=0,0,IF('PA 7'!$C$14&lt;'PA 7'!$C$21,'PA 7'!$C$21,'PA 7'!$C$14))</f>
        <v>0</v>
      </c>
      <c r="G7" s="397"/>
      <c r="H7" s="1"/>
      <c r="I7" s="558">
        <f>IF('PA 7'!$Q$37=0,0,IF('PA 7'!$C$15&gt;0,'PA 7'!$C$15,B7))</f>
        <v>0</v>
      </c>
      <c r="J7" s="558"/>
      <c r="M7" s="200" t="s">
        <v>227</v>
      </c>
      <c r="N7" s="396"/>
      <c r="O7" s="560" t="s">
        <v>228</v>
      </c>
      <c r="P7" s="560"/>
      <c r="Q7" s="560"/>
      <c r="R7" s="560"/>
    </row>
    <row r="8" spans="1:18" x14ac:dyDescent="0.3">
      <c r="A8" s="195"/>
      <c r="B8" s="194" t="s">
        <v>229</v>
      </c>
      <c r="C8" s="194"/>
      <c r="D8" s="194"/>
      <c r="E8" s="194"/>
      <c r="F8" s="194" t="s">
        <v>230</v>
      </c>
      <c r="G8" s="194"/>
      <c r="H8" s="194"/>
      <c r="I8" s="194" t="s">
        <v>231</v>
      </c>
      <c r="M8" s="200"/>
      <c r="O8" s="560"/>
      <c r="P8" s="560"/>
      <c r="Q8" s="560"/>
      <c r="R8" s="560"/>
    </row>
    <row r="9" spans="1:18" x14ac:dyDescent="0.3">
      <c r="A9" s="195" t="s">
        <v>232</v>
      </c>
    </row>
    <row r="10" spans="1:18" x14ac:dyDescent="0.3">
      <c r="A10" s="195"/>
    </row>
    <row r="11" spans="1:18" x14ac:dyDescent="0.3">
      <c r="A11" s="195"/>
      <c r="L11" s="1" t="str">
        <f>CONCATENATE('PA 7'!C6:C6," ",'PA 7'!C7:C7)</f>
        <v xml:space="preserve"> </v>
      </c>
    </row>
    <row r="12" spans="1:18" x14ac:dyDescent="0.3">
      <c r="A12" s="195"/>
      <c r="L12" s="1">
        <f>'PA 7'!C8:C8</f>
        <v>0</v>
      </c>
    </row>
    <row r="13" spans="1:18" x14ac:dyDescent="0.3">
      <c r="A13" s="195"/>
      <c r="L13" s="1">
        <f>'PA 7'!C9:C9</f>
        <v>0</v>
      </c>
    </row>
    <row r="14" spans="1:18" x14ac:dyDescent="0.3">
      <c r="A14" s="195"/>
    </row>
    <row r="15" spans="1:18" x14ac:dyDescent="0.3">
      <c r="A15" s="195"/>
    </row>
    <row r="16" spans="1:18" x14ac:dyDescent="0.3">
      <c r="A16" s="195"/>
    </row>
    <row r="17" spans="1:18" x14ac:dyDescent="0.3">
      <c r="A17" s="195"/>
    </row>
    <row r="18" spans="1:18" ht="13.5" customHeight="1" x14ac:dyDescent="0.3">
      <c r="A18" s="195"/>
      <c r="R18" s="561" t="s">
        <v>233</v>
      </c>
    </row>
    <row r="19" spans="1:18" x14ac:dyDescent="0.3">
      <c r="A19" s="195">
        <v>1</v>
      </c>
      <c r="B19" s="189" t="s">
        <v>234</v>
      </c>
      <c r="C19" s="189"/>
      <c r="D19" s="189" t="s">
        <v>235</v>
      </c>
      <c r="E19" s="189"/>
      <c r="F19" s="189"/>
      <c r="G19" s="189"/>
      <c r="H19" s="189"/>
      <c r="I19" s="189"/>
      <c r="J19" s="193" t="s">
        <v>236</v>
      </c>
      <c r="K19" s="193"/>
      <c r="L19" s="189"/>
      <c r="M19" s="189"/>
      <c r="N19" s="189"/>
      <c r="Q19" s="213"/>
      <c r="R19" s="561"/>
    </row>
    <row r="20" spans="1:18" x14ac:dyDescent="0.3">
      <c r="A20" s="195"/>
      <c r="B20" s="189" t="s">
        <v>237</v>
      </c>
      <c r="C20" s="189"/>
      <c r="D20" s="189" t="s">
        <v>238</v>
      </c>
      <c r="E20" s="189"/>
      <c r="F20" s="189"/>
      <c r="G20" s="189"/>
      <c r="H20" s="189"/>
      <c r="I20" s="189"/>
      <c r="J20" s="193" t="s">
        <v>236</v>
      </c>
      <c r="K20" s="193"/>
      <c r="L20" s="189"/>
      <c r="M20" s="189"/>
      <c r="N20" s="189"/>
      <c r="Q20" s="213"/>
      <c r="R20" s="561"/>
    </row>
    <row r="21" spans="1:18" x14ac:dyDescent="0.3">
      <c r="A21" s="195"/>
      <c r="B21" s="201" t="s">
        <v>239</v>
      </c>
      <c r="C21" s="201"/>
      <c r="D21" s="201" t="s">
        <v>240</v>
      </c>
      <c r="E21" s="201"/>
      <c r="F21" s="201"/>
      <c r="G21" s="201"/>
      <c r="H21" s="201"/>
      <c r="I21" s="201"/>
      <c r="J21" s="202" t="s">
        <v>241</v>
      </c>
      <c r="K21" s="202"/>
      <c r="L21" s="201"/>
      <c r="M21" s="201"/>
      <c r="N21" s="201"/>
      <c r="O21" s="203"/>
      <c r="P21" s="203"/>
      <c r="R21" s="398">
        <f>'PA 7'!Q37-'PA 7'!Q31</f>
        <v>0</v>
      </c>
    </row>
    <row r="22" spans="1:18" ht="3" customHeight="1" x14ac:dyDescent="0.3">
      <c r="A22" s="195"/>
      <c r="B22" s="189"/>
      <c r="C22" s="189"/>
      <c r="D22" s="189"/>
      <c r="E22" s="189"/>
      <c r="F22" s="206"/>
      <c r="G22" s="206"/>
      <c r="H22" s="206"/>
      <c r="I22" s="206"/>
      <c r="J22" s="207"/>
      <c r="K22" s="207"/>
      <c r="L22" s="206"/>
      <c r="M22" s="206"/>
      <c r="N22" s="206"/>
      <c r="O22" s="208"/>
      <c r="P22" s="208"/>
      <c r="R22" s="215"/>
    </row>
    <row r="23" spans="1:18" x14ac:dyDescent="0.3">
      <c r="A23" s="195">
        <v>2</v>
      </c>
      <c r="B23" s="189" t="s">
        <v>242</v>
      </c>
      <c r="C23" s="189"/>
      <c r="D23" s="189"/>
      <c r="E23" s="189"/>
      <c r="F23" s="201" t="s">
        <v>303</v>
      </c>
      <c r="G23" s="201"/>
      <c r="H23" s="201"/>
      <c r="I23" s="203"/>
      <c r="J23" s="201"/>
      <c r="K23" s="201"/>
      <c r="L23" s="201"/>
      <c r="M23" s="201"/>
      <c r="N23" s="201"/>
      <c r="O23" s="203"/>
      <c r="P23" s="203"/>
      <c r="Q23" s="192" t="s">
        <v>244</v>
      </c>
      <c r="R23" s="399">
        <f>'PA 7'!Q31</f>
        <v>0</v>
      </c>
    </row>
    <row r="24" spans="1:18" ht="3" customHeight="1" x14ac:dyDescent="0.3">
      <c r="A24" s="195"/>
      <c r="B24" s="189"/>
      <c r="C24" s="189"/>
      <c r="D24" s="189"/>
      <c r="E24" s="189"/>
      <c r="F24" s="206"/>
      <c r="G24" s="206"/>
      <c r="H24" s="206"/>
      <c r="I24" s="208"/>
      <c r="J24" s="206"/>
      <c r="K24" s="206"/>
      <c r="L24" s="206"/>
      <c r="M24" s="206"/>
      <c r="N24" s="206"/>
      <c r="O24" s="208"/>
      <c r="P24" s="208"/>
      <c r="Q24" s="192"/>
      <c r="R24" s="215"/>
    </row>
    <row r="25" spans="1:18" x14ac:dyDescent="0.3">
      <c r="A25" s="195"/>
      <c r="B25" s="189" t="s">
        <v>245</v>
      </c>
      <c r="C25" s="189"/>
      <c r="D25" s="189"/>
      <c r="E25" s="189"/>
      <c r="F25" s="201" t="s">
        <v>304</v>
      </c>
      <c r="G25" s="201"/>
      <c r="H25" s="201"/>
      <c r="I25" s="201"/>
      <c r="J25" s="201"/>
      <c r="K25" s="201"/>
      <c r="L25" s="201"/>
      <c r="M25" s="201"/>
      <c r="N25" s="201"/>
      <c r="O25" s="203"/>
      <c r="P25" s="203"/>
      <c r="Q25" s="192" t="s">
        <v>244</v>
      </c>
      <c r="R25" s="399"/>
    </row>
    <row r="26" spans="1:18" ht="3" customHeight="1" x14ac:dyDescent="0.3">
      <c r="A26" s="195"/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Q26" s="192"/>
      <c r="R26" s="216"/>
    </row>
    <row r="27" spans="1:18" x14ac:dyDescent="0.3">
      <c r="A27" s="195"/>
      <c r="B27" s="189" t="s">
        <v>247</v>
      </c>
      <c r="C27" s="189"/>
      <c r="D27" s="189"/>
      <c r="E27" s="189"/>
      <c r="F27" s="189" t="s">
        <v>305</v>
      </c>
      <c r="G27" s="189"/>
      <c r="H27" s="189"/>
      <c r="I27" s="189"/>
      <c r="J27" s="553"/>
      <c r="K27" s="553"/>
      <c r="L27" s="553"/>
      <c r="M27" s="553"/>
      <c r="N27" s="553"/>
      <c r="O27" s="553"/>
      <c r="P27" s="553"/>
      <c r="Q27" s="192" t="s">
        <v>244</v>
      </c>
      <c r="R27" s="399"/>
    </row>
    <row r="28" spans="1:18" ht="9.75" customHeight="1" x14ac:dyDescent="0.3">
      <c r="A28" s="195"/>
      <c r="B28" s="189"/>
      <c r="C28" s="189"/>
      <c r="D28" s="189"/>
      <c r="E28" s="189"/>
      <c r="F28" s="191" t="s">
        <v>249</v>
      </c>
      <c r="G28" s="191"/>
      <c r="H28" s="191"/>
      <c r="I28" s="189"/>
      <c r="J28" s="189"/>
      <c r="K28" s="189"/>
      <c r="L28" s="189"/>
      <c r="M28" s="189"/>
      <c r="N28" s="189"/>
      <c r="R28" s="217"/>
    </row>
    <row r="29" spans="1:18" x14ac:dyDescent="0.3">
      <c r="A29" s="195">
        <v>3</v>
      </c>
      <c r="B29" s="189" t="s">
        <v>250</v>
      </c>
      <c r="C29" s="189"/>
      <c r="D29" s="189"/>
      <c r="E29" s="189"/>
      <c r="F29" s="189"/>
      <c r="G29" s="189"/>
      <c r="H29" s="189"/>
      <c r="I29" s="189"/>
      <c r="J29" s="189"/>
      <c r="K29" s="191" t="s">
        <v>249</v>
      </c>
      <c r="M29" s="189"/>
      <c r="N29" s="189"/>
      <c r="Q29" s="192" t="s">
        <v>244</v>
      </c>
      <c r="R29" s="217"/>
    </row>
    <row r="30" spans="1:18" x14ac:dyDescent="0.3">
      <c r="A30" s="195"/>
      <c r="B30" s="553"/>
      <c r="C30" s="553"/>
      <c r="D30" s="553"/>
      <c r="E30" s="553"/>
      <c r="F30" s="553"/>
      <c r="G30" s="553"/>
      <c r="H30" s="553"/>
      <c r="I30" s="553"/>
      <c r="J30" s="553"/>
      <c r="K30" s="553"/>
      <c r="L30" s="553"/>
      <c r="M30" s="553"/>
      <c r="N30" s="553"/>
      <c r="O30" s="553"/>
      <c r="P30" s="553"/>
      <c r="R30" s="399"/>
    </row>
    <row r="31" spans="1:18" ht="3" customHeight="1" x14ac:dyDescent="0.3">
      <c r="A31" s="195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R31" s="215"/>
    </row>
    <row r="32" spans="1:18" x14ac:dyDescent="0.3">
      <c r="A32" s="195">
        <v>4</v>
      </c>
      <c r="B32" s="189" t="s">
        <v>251</v>
      </c>
      <c r="C32" s="189"/>
      <c r="D32" s="189"/>
      <c r="E32" s="189"/>
      <c r="F32" s="189"/>
      <c r="G32" s="189"/>
      <c r="H32" s="189"/>
      <c r="I32" s="553"/>
      <c r="J32" s="553"/>
      <c r="K32" s="553"/>
      <c r="L32" s="553"/>
      <c r="M32" s="553"/>
      <c r="N32" s="553"/>
      <c r="O32" s="553"/>
      <c r="P32" s="553"/>
      <c r="Q32" s="192" t="s">
        <v>244</v>
      </c>
      <c r="R32" s="399"/>
    </row>
    <row r="33" spans="1:18" ht="9" customHeight="1" x14ac:dyDescent="0.3">
      <c r="A33" s="195"/>
      <c r="B33" s="191" t="s">
        <v>249</v>
      </c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R33" s="217"/>
    </row>
    <row r="34" spans="1:18" x14ac:dyDescent="0.3">
      <c r="A34" s="195">
        <v>5</v>
      </c>
      <c r="B34" s="201" t="s">
        <v>252</v>
      </c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3"/>
      <c r="P34" s="203"/>
      <c r="Q34" s="192" t="s">
        <v>244</v>
      </c>
      <c r="R34" s="399"/>
    </row>
    <row r="35" spans="1:18" ht="3" customHeight="1" x14ac:dyDescent="0.3">
      <c r="A35" s="195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Q35" s="192"/>
      <c r="R35" s="216"/>
    </row>
    <row r="36" spans="1:18" x14ac:dyDescent="0.3">
      <c r="A36" s="195">
        <v>6</v>
      </c>
      <c r="B36" s="201" t="s">
        <v>253</v>
      </c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3"/>
      <c r="P36" s="203"/>
      <c r="Q36" s="192" t="s">
        <v>244</v>
      </c>
      <c r="R36" s="399"/>
    </row>
    <row r="37" spans="1:18" ht="3" customHeight="1" x14ac:dyDescent="0.3">
      <c r="A37" s="195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Q37" s="192"/>
      <c r="R37" s="216"/>
    </row>
    <row r="38" spans="1:18" x14ac:dyDescent="0.3">
      <c r="A38" s="195">
        <v>7</v>
      </c>
      <c r="B38" s="189" t="s">
        <v>254</v>
      </c>
      <c r="C38" s="189"/>
      <c r="D38" s="189"/>
      <c r="E38" s="189"/>
      <c r="F38" s="189"/>
      <c r="G38" s="189"/>
      <c r="H38" s="189"/>
      <c r="I38" s="553"/>
      <c r="J38" s="553"/>
      <c r="K38" s="553"/>
      <c r="L38" s="553"/>
      <c r="M38" s="553"/>
      <c r="N38" s="553"/>
      <c r="O38" s="553"/>
      <c r="P38" s="553"/>
      <c r="Q38" s="192" t="s">
        <v>244</v>
      </c>
      <c r="R38" s="399"/>
    </row>
    <row r="39" spans="1:18" ht="9" customHeight="1" x14ac:dyDescent="0.3">
      <c r="A39" s="195"/>
      <c r="B39" s="191" t="s">
        <v>249</v>
      </c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R39" s="217"/>
    </row>
    <row r="40" spans="1:18" x14ac:dyDescent="0.3">
      <c r="A40" s="195">
        <v>8</v>
      </c>
      <c r="B40" s="201" t="s">
        <v>255</v>
      </c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3"/>
      <c r="P40" s="203"/>
      <c r="Q40" s="192" t="s">
        <v>256</v>
      </c>
      <c r="R40" s="399">
        <f>SUM(R21:R39)</f>
        <v>0</v>
      </c>
    </row>
    <row r="41" spans="1:18" ht="3" customHeight="1" x14ac:dyDescent="0.3">
      <c r="A41" s="195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Q41" s="192"/>
      <c r="R41" s="216"/>
    </row>
    <row r="42" spans="1:18" x14ac:dyDescent="0.3">
      <c r="A42" s="195">
        <v>9</v>
      </c>
      <c r="B42" s="201" t="s">
        <v>257</v>
      </c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3"/>
      <c r="P42" s="203"/>
      <c r="Q42" s="192" t="s">
        <v>44</v>
      </c>
      <c r="R42" s="399">
        <f>('PA 7'!Q40+'PA 7'!Q41+'PA 7'!Q42)*-1</f>
        <v>0</v>
      </c>
    </row>
    <row r="43" spans="1:18" ht="3" customHeight="1" x14ac:dyDescent="0.3">
      <c r="A43" s="195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Q43" s="192"/>
      <c r="R43" s="216"/>
    </row>
    <row r="44" spans="1:18" x14ac:dyDescent="0.3">
      <c r="A44" s="195">
        <v>10</v>
      </c>
      <c r="B44" s="189" t="s">
        <v>258</v>
      </c>
      <c r="C44" s="189"/>
      <c r="D44" s="189"/>
      <c r="E44" s="189" t="s">
        <v>259</v>
      </c>
      <c r="F44" s="189"/>
      <c r="G44" s="189"/>
      <c r="H44" s="201" t="s">
        <v>306</v>
      </c>
      <c r="I44" s="203"/>
      <c r="J44" s="201"/>
      <c r="K44" s="201"/>
      <c r="L44" s="201"/>
      <c r="M44" s="201"/>
      <c r="N44" s="201"/>
      <c r="O44" s="203"/>
      <c r="P44" s="203"/>
      <c r="Q44" s="192" t="s">
        <v>44</v>
      </c>
      <c r="R44" s="399">
        <f>'PA 7'!Q44*-1</f>
        <v>0</v>
      </c>
    </row>
    <row r="45" spans="1:18" x14ac:dyDescent="0.3">
      <c r="A45" s="195"/>
      <c r="B45" s="189" t="s">
        <v>261</v>
      </c>
      <c r="C45" s="189"/>
      <c r="D45" s="189"/>
      <c r="E45" s="189" t="s">
        <v>307</v>
      </c>
      <c r="F45" s="189"/>
      <c r="G45" s="189"/>
      <c r="H45" s="189"/>
      <c r="J45" s="189"/>
      <c r="K45" s="189"/>
      <c r="L45" s="189"/>
      <c r="M45" s="189"/>
      <c r="N45" s="189"/>
      <c r="R45" s="217"/>
    </row>
    <row r="46" spans="1:18" x14ac:dyDescent="0.3">
      <c r="A46" s="195"/>
      <c r="B46" s="189" t="s">
        <v>263</v>
      </c>
      <c r="C46" s="189"/>
      <c r="E46" s="189" t="s">
        <v>308</v>
      </c>
      <c r="H46" s="201" t="s">
        <v>309</v>
      </c>
      <c r="I46" s="203"/>
      <c r="J46" s="203"/>
      <c r="K46" s="203"/>
      <c r="L46" s="203"/>
      <c r="M46" s="203"/>
      <c r="N46" s="203"/>
      <c r="O46" s="203"/>
      <c r="P46" s="203"/>
      <c r="Q46" s="192" t="s">
        <v>44</v>
      </c>
      <c r="R46" s="399"/>
    </row>
    <row r="47" spans="1:18" ht="3" customHeight="1" x14ac:dyDescent="0.3">
      <c r="A47" s="195"/>
      <c r="B47" s="189"/>
      <c r="C47" s="189"/>
      <c r="E47" s="189"/>
      <c r="H47" s="189"/>
      <c r="Q47" s="192"/>
      <c r="R47" s="216"/>
    </row>
    <row r="48" spans="1:18" x14ac:dyDescent="0.3">
      <c r="A48" s="195">
        <v>11</v>
      </c>
      <c r="B48" s="204" t="s">
        <v>266</v>
      </c>
      <c r="C48" s="201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3"/>
      <c r="O48" s="203"/>
      <c r="P48" s="203"/>
      <c r="Q48" s="192" t="s">
        <v>256</v>
      </c>
      <c r="R48" s="399">
        <f>R40-SUM(R42:R46)</f>
        <v>0</v>
      </c>
    </row>
    <row r="49" spans="1:18" ht="9" customHeight="1" x14ac:dyDescent="0.3">
      <c r="A49" s="195"/>
      <c r="B49" s="196" t="s">
        <v>267</v>
      </c>
      <c r="C49" s="189"/>
      <c r="R49" s="217"/>
    </row>
    <row r="50" spans="1:18" x14ac:dyDescent="0.3">
      <c r="A50" s="195">
        <v>12</v>
      </c>
      <c r="B50" s="201" t="s">
        <v>268</v>
      </c>
      <c r="C50" s="201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R50" s="399">
        <f>'PA 7'!Q46*-1</f>
        <v>0</v>
      </c>
    </row>
    <row r="51" spans="1:18" x14ac:dyDescent="0.3">
      <c r="A51" s="195">
        <v>13</v>
      </c>
      <c r="B51" s="189" t="s">
        <v>269</v>
      </c>
      <c r="C51" s="189"/>
      <c r="R51" s="218"/>
    </row>
    <row r="52" spans="1:18" ht="9" customHeight="1" x14ac:dyDescent="0.3">
      <c r="B52" s="191" t="s">
        <v>270</v>
      </c>
      <c r="R52" s="218"/>
    </row>
    <row r="53" spans="1:18" ht="13.5" customHeight="1" x14ac:dyDescent="0.3">
      <c r="A53" s="562">
        <v>13.1</v>
      </c>
      <c r="B53" s="562"/>
      <c r="C53" s="564" t="s">
        <v>271</v>
      </c>
      <c r="D53" s="197" t="s">
        <v>272</v>
      </c>
      <c r="E53" s="201" t="s">
        <v>273</v>
      </c>
      <c r="F53" s="201"/>
      <c r="G53" s="201"/>
      <c r="H53" s="201"/>
      <c r="I53" s="203"/>
      <c r="J53" s="203"/>
      <c r="K53" s="203"/>
      <c r="L53" s="203"/>
      <c r="M53" s="203"/>
      <c r="N53" s="203"/>
      <c r="O53" s="203"/>
      <c r="P53" s="395" t="s">
        <v>216</v>
      </c>
      <c r="R53" s="401"/>
    </row>
    <row r="54" spans="1:18" ht="3" customHeight="1" x14ac:dyDescent="0.3">
      <c r="A54" s="210"/>
      <c r="B54" s="210"/>
      <c r="C54" s="564"/>
      <c r="D54" s="197"/>
      <c r="E54" s="189"/>
      <c r="F54" s="189"/>
      <c r="G54" s="189"/>
      <c r="H54" s="189"/>
      <c r="R54" s="219"/>
    </row>
    <row r="55" spans="1:18" x14ac:dyDescent="0.3">
      <c r="A55" s="195"/>
      <c r="B55" s="195"/>
      <c r="C55" s="564"/>
      <c r="D55" s="198" t="s">
        <v>274</v>
      </c>
      <c r="E55" s="189" t="s">
        <v>275</v>
      </c>
      <c r="F55" s="189"/>
      <c r="G55" s="189"/>
      <c r="H55" s="189"/>
      <c r="I55" s="554"/>
      <c r="J55" s="554"/>
      <c r="K55" s="554"/>
      <c r="L55" s="554"/>
      <c r="M55" s="554"/>
      <c r="N55" s="554"/>
      <c r="O55" s="554"/>
      <c r="P55" s="554"/>
      <c r="R55" s="401"/>
    </row>
    <row r="56" spans="1:18" ht="9" customHeight="1" x14ac:dyDescent="0.3">
      <c r="A56" s="195"/>
      <c r="B56" s="195"/>
      <c r="C56" s="564"/>
      <c r="D56" s="199"/>
      <c r="E56" s="194" t="s">
        <v>249</v>
      </c>
      <c r="R56" s="218"/>
    </row>
    <row r="57" spans="1:18" x14ac:dyDescent="0.3">
      <c r="A57" s="563">
        <v>13.2</v>
      </c>
      <c r="B57" s="563"/>
      <c r="C57" s="189" t="s">
        <v>276</v>
      </c>
      <c r="D57" s="198" t="s">
        <v>277</v>
      </c>
      <c r="E57" s="201" t="s">
        <v>278</v>
      </c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R57" s="401"/>
    </row>
    <row r="58" spans="1:18" ht="3" customHeight="1" x14ac:dyDescent="0.3">
      <c r="A58" s="211"/>
      <c r="B58" s="211"/>
      <c r="C58" s="189"/>
      <c r="D58" s="198"/>
      <c r="E58" s="189"/>
      <c r="R58" s="220"/>
    </row>
    <row r="59" spans="1:18" x14ac:dyDescent="0.3">
      <c r="A59" s="195"/>
      <c r="B59" s="195"/>
      <c r="C59" s="189" t="s">
        <v>279</v>
      </c>
      <c r="D59" s="198" t="s">
        <v>280</v>
      </c>
      <c r="E59" s="201" t="s">
        <v>281</v>
      </c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R59" s="401"/>
    </row>
    <row r="60" spans="1:18" ht="3" customHeight="1" x14ac:dyDescent="0.3">
      <c r="A60" s="195"/>
      <c r="B60" s="195"/>
      <c r="C60" s="189"/>
      <c r="D60" s="198"/>
      <c r="E60" s="189"/>
      <c r="I60" s="208"/>
      <c r="J60" s="208"/>
      <c r="K60" s="208"/>
      <c r="L60" s="208"/>
      <c r="M60" s="208"/>
      <c r="N60" s="208"/>
      <c r="O60" s="208"/>
      <c r="P60" s="208"/>
      <c r="R60" s="220"/>
    </row>
    <row r="61" spans="1:18" x14ac:dyDescent="0.3">
      <c r="A61" s="195"/>
      <c r="B61" s="195"/>
      <c r="C61" s="189" t="s">
        <v>282</v>
      </c>
      <c r="D61" s="198" t="s">
        <v>283</v>
      </c>
      <c r="E61" s="189" t="s">
        <v>275</v>
      </c>
      <c r="I61" s="554"/>
      <c r="J61" s="554"/>
      <c r="K61" s="554"/>
      <c r="L61" s="554"/>
      <c r="M61" s="554"/>
      <c r="N61" s="554"/>
      <c r="O61" s="554"/>
      <c r="P61" s="554"/>
      <c r="R61" s="401"/>
    </row>
    <row r="62" spans="1:18" ht="9" customHeight="1" x14ac:dyDescent="0.3">
      <c r="B62" s="189"/>
      <c r="C62" s="189"/>
      <c r="E62" s="194" t="s">
        <v>249</v>
      </c>
      <c r="R62" s="218"/>
    </row>
    <row r="63" spans="1:18" x14ac:dyDescent="0.3">
      <c r="A63" s="562">
        <v>13.3</v>
      </c>
      <c r="B63" s="562"/>
      <c r="C63" s="201" t="s">
        <v>284</v>
      </c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R63" s="401"/>
    </row>
    <row r="64" spans="1:18" ht="3" customHeight="1" x14ac:dyDescent="0.3">
      <c r="A64" s="210"/>
      <c r="B64" s="210"/>
      <c r="C64" s="189"/>
    </row>
    <row r="65" spans="1:18" x14ac:dyDescent="0.3">
      <c r="A65" s="195">
        <v>14</v>
      </c>
      <c r="B65" s="189" t="s">
        <v>285</v>
      </c>
      <c r="C65" s="189"/>
      <c r="F65" s="189" t="s">
        <v>286</v>
      </c>
      <c r="G65" s="189"/>
      <c r="H65" s="189"/>
      <c r="I65" s="554"/>
      <c r="J65" s="554"/>
      <c r="K65" s="554"/>
      <c r="L65" s="554"/>
      <c r="M65" s="554"/>
      <c r="N65" s="554"/>
      <c r="O65" s="554"/>
      <c r="P65" s="554"/>
      <c r="Q65" s="554"/>
      <c r="R65" s="554"/>
    </row>
    <row r="66" spans="1:18" ht="3" customHeight="1" x14ac:dyDescent="0.3">
      <c r="A66" s="195"/>
      <c r="B66" s="189"/>
      <c r="C66" s="189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2"/>
      <c r="O66" s="212"/>
      <c r="P66" s="212"/>
      <c r="Q66" s="212"/>
      <c r="R66" s="212"/>
    </row>
    <row r="67" spans="1:18" x14ac:dyDescent="0.3">
      <c r="A67" s="195"/>
      <c r="B67" s="189" t="s">
        <v>287</v>
      </c>
      <c r="C67" s="189"/>
      <c r="F67" s="189" t="s">
        <v>288</v>
      </c>
      <c r="G67" s="189"/>
      <c r="H67" s="189"/>
      <c r="I67" s="554"/>
      <c r="J67" s="554"/>
      <c r="K67" s="554"/>
      <c r="L67" s="554"/>
      <c r="M67" s="554"/>
      <c r="N67" s="554"/>
      <c r="O67" s="554"/>
      <c r="P67" s="554"/>
      <c r="Q67" s="554"/>
      <c r="R67" s="554"/>
    </row>
    <row r="68" spans="1:18" ht="3" customHeight="1" x14ac:dyDescent="0.3">
      <c r="A68" s="195"/>
      <c r="B68" s="189"/>
      <c r="C68" s="189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2"/>
      <c r="Q68" s="212"/>
      <c r="R68" s="212"/>
    </row>
    <row r="69" spans="1:18" x14ac:dyDescent="0.3">
      <c r="A69" s="195"/>
      <c r="B69" s="189" t="s">
        <v>289</v>
      </c>
      <c r="C69" s="189"/>
      <c r="F69" s="189" t="s">
        <v>290</v>
      </c>
      <c r="G69" s="189"/>
      <c r="H69" s="189"/>
      <c r="I69" s="554"/>
      <c r="J69" s="554"/>
      <c r="K69" s="554"/>
      <c r="L69" s="554"/>
      <c r="M69" s="554"/>
      <c r="N69" s="554"/>
      <c r="O69" s="554"/>
      <c r="P69" s="554"/>
      <c r="Q69" s="554"/>
      <c r="R69" s="554"/>
    </row>
    <row r="70" spans="1:18" ht="3" customHeight="1" x14ac:dyDescent="0.3">
      <c r="A70" s="195"/>
      <c r="B70" s="189"/>
      <c r="C70" s="189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2"/>
      <c r="O70" s="212"/>
      <c r="P70" s="212"/>
      <c r="Q70" s="212"/>
      <c r="R70" s="212"/>
    </row>
    <row r="71" spans="1:18" x14ac:dyDescent="0.3">
      <c r="A71" s="195">
        <v>15</v>
      </c>
      <c r="B71" s="189" t="s">
        <v>291</v>
      </c>
      <c r="C71" s="189"/>
      <c r="D71" s="556" t="str">
        <f>IF('PA 7'!L7&lt;100%,"Taux d'occupation "&amp;('PA 7'!L7+'PA 7'!L12)*100&amp;"%","")</f>
        <v>Taux d'occupation 0%</v>
      </c>
      <c r="E71" s="556"/>
      <c r="F71" s="556"/>
      <c r="G71" s="556"/>
      <c r="H71" s="556"/>
      <c r="I71" s="556"/>
      <c r="J71" s="556"/>
      <c r="K71" s="556"/>
      <c r="L71" s="556"/>
      <c r="M71" s="556"/>
      <c r="N71" s="556"/>
      <c r="O71" s="556"/>
      <c r="P71" s="556"/>
      <c r="Q71" s="556"/>
      <c r="R71" s="556"/>
    </row>
    <row r="72" spans="1:18" ht="3" customHeight="1" x14ac:dyDescent="0.3">
      <c r="A72" s="195"/>
      <c r="B72" s="189"/>
      <c r="C72" s="189"/>
      <c r="D72" s="223"/>
      <c r="E72" s="223"/>
      <c r="F72" s="223"/>
      <c r="G72" s="223"/>
      <c r="H72" s="223"/>
      <c r="I72" s="223"/>
      <c r="J72" s="223"/>
      <c r="K72" s="223"/>
      <c r="L72" s="223"/>
      <c r="M72" s="223"/>
      <c r="N72" s="223"/>
      <c r="O72" s="223"/>
      <c r="P72" s="223"/>
      <c r="Q72" s="223"/>
      <c r="R72" s="223"/>
    </row>
    <row r="73" spans="1:18" x14ac:dyDescent="0.3">
      <c r="A73" s="195"/>
      <c r="B73" s="189" t="s">
        <v>292</v>
      </c>
      <c r="C73" s="189"/>
      <c r="D73" s="557"/>
      <c r="E73" s="557"/>
      <c r="F73" s="557"/>
      <c r="G73" s="557"/>
      <c r="H73" s="557"/>
      <c r="I73" s="557"/>
      <c r="J73" s="557"/>
      <c r="K73" s="557"/>
      <c r="L73" s="557"/>
      <c r="M73" s="557"/>
      <c r="N73" s="557"/>
      <c r="O73" s="557"/>
      <c r="P73" s="557"/>
      <c r="Q73" s="557"/>
      <c r="R73" s="557"/>
    </row>
    <row r="74" spans="1:18" ht="3" customHeight="1" x14ac:dyDescent="0.3">
      <c r="A74" s="195"/>
      <c r="B74" s="189"/>
      <c r="C74" s="189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</row>
    <row r="75" spans="1:18" x14ac:dyDescent="0.3">
      <c r="A75" s="195"/>
      <c r="B75" s="189" t="s">
        <v>293</v>
      </c>
      <c r="C75" s="189"/>
      <c r="D75" s="557"/>
      <c r="E75" s="557"/>
      <c r="F75" s="557"/>
      <c r="G75" s="557"/>
      <c r="H75" s="557"/>
      <c r="I75" s="557"/>
      <c r="J75" s="557"/>
      <c r="K75" s="557"/>
      <c r="L75" s="557"/>
      <c r="M75" s="557"/>
      <c r="N75" s="557"/>
      <c r="O75" s="557"/>
      <c r="P75" s="557"/>
      <c r="Q75" s="557"/>
      <c r="R75" s="557"/>
    </row>
    <row r="76" spans="1:18" x14ac:dyDescent="0.3">
      <c r="A76" s="195"/>
      <c r="B76" s="189"/>
      <c r="C76" s="189"/>
    </row>
    <row r="77" spans="1:18" x14ac:dyDescent="0.3">
      <c r="A77" s="195" t="s">
        <v>294</v>
      </c>
      <c r="B77" s="189" t="s">
        <v>295</v>
      </c>
      <c r="C77" s="189"/>
      <c r="F77" s="189" t="s">
        <v>296</v>
      </c>
      <c r="G77" s="189"/>
      <c r="M77" s="565">
        <f>'Attestation du salaire (ord.)'!A8:A8</f>
        <v>0</v>
      </c>
      <c r="N77" s="565"/>
      <c r="O77" s="565"/>
      <c r="P77" s="565"/>
      <c r="Q77" s="565"/>
      <c r="R77" s="565"/>
    </row>
    <row r="78" spans="1:18" ht="9" customHeight="1" x14ac:dyDescent="0.3">
      <c r="B78" s="189"/>
      <c r="C78" s="189"/>
      <c r="F78" s="191" t="s">
        <v>297</v>
      </c>
      <c r="G78" s="191"/>
      <c r="M78" s="221"/>
      <c r="N78" s="221"/>
      <c r="O78" s="221"/>
      <c r="P78" s="221"/>
      <c r="Q78" s="221"/>
      <c r="R78" s="221"/>
    </row>
    <row r="79" spans="1:18" x14ac:dyDescent="0.3">
      <c r="B79" s="555"/>
      <c r="C79" s="555"/>
      <c r="D79" s="555"/>
      <c r="F79" s="189" t="s">
        <v>298</v>
      </c>
      <c r="G79" s="189"/>
      <c r="M79" s="498">
        <f>'Attestation du salaire (ord.)'!A9:A9</f>
        <v>0</v>
      </c>
      <c r="N79" s="498"/>
      <c r="O79" s="498"/>
      <c r="P79" s="498"/>
      <c r="Q79" s="498"/>
      <c r="R79" s="498"/>
    </row>
    <row r="80" spans="1:18" ht="9" customHeight="1" x14ac:dyDescent="0.3">
      <c r="B80" s="189"/>
      <c r="C80" s="189"/>
      <c r="F80" s="191" t="s">
        <v>299</v>
      </c>
      <c r="G80" s="191"/>
      <c r="M80" s="221"/>
      <c r="N80" s="221"/>
      <c r="O80" s="221"/>
      <c r="P80" s="221"/>
      <c r="Q80" s="221"/>
      <c r="R80" s="221"/>
    </row>
    <row r="81" spans="2:18" ht="13.5" customHeight="1" x14ac:dyDescent="0.3">
      <c r="B81" s="189"/>
      <c r="C81" s="189"/>
      <c r="F81" s="189" t="s">
        <v>300</v>
      </c>
      <c r="G81" s="189"/>
      <c r="M81" s="565">
        <f>'Attestation du salaire (ord.)'!A10:A10</f>
        <v>0</v>
      </c>
      <c r="N81" s="565"/>
      <c r="O81" s="565"/>
      <c r="P81" s="565"/>
      <c r="Q81" s="565"/>
      <c r="R81" s="565"/>
    </row>
    <row r="82" spans="2:18" ht="9" customHeight="1" x14ac:dyDescent="0.3">
      <c r="B82" s="189"/>
      <c r="C82" s="189"/>
      <c r="F82" s="191" t="s">
        <v>301</v>
      </c>
      <c r="G82" s="191"/>
      <c r="M82" s="222"/>
      <c r="N82" s="222"/>
      <c r="O82" s="222"/>
      <c r="P82" s="222"/>
      <c r="Q82" s="222"/>
      <c r="R82" s="222"/>
    </row>
    <row r="83" spans="2:18" ht="13.5" customHeight="1" x14ac:dyDescent="0.3">
      <c r="B83" s="189"/>
      <c r="C83" s="189"/>
      <c r="I83" s="189"/>
      <c r="M83" s="565" t="str">
        <f>'CS 1'!M83:R83</f>
        <v>Entrez le numéro de téléphone ici</v>
      </c>
      <c r="N83" s="565"/>
      <c r="O83" s="565"/>
      <c r="P83" s="565"/>
      <c r="Q83" s="565"/>
      <c r="R83" s="565"/>
    </row>
    <row r="84" spans="2:18" x14ac:dyDescent="0.3">
      <c r="B84" s="189"/>
      <c r="C84" s="189"/>
    </row>
  </sheetData>
  <sheetProtection algorithmName="SHA-512" hashValue="WPttmEOWXRNfZ43yJ3bM6JsM3Ym8+g1L9HtH/iAVlwSd/YinW5gpsM/CC9J7apP+VQZxjLFQVbQYQxKbNrZLZA==" saltValue="0xtf/ELjyzT/vxbAHPMIcQ==" spinCount="100000" sheet="1" objects="1" scenarios="1"/>
  <mergeCells count="28">
    <mergeCell ref="O5:R6"/>
    <mergeCell ref="B7:C7"/>
    <mergeCell ref="I7:J7"/>
    <mergeCell ref="O7:R8"/>
    <mergeCell ref="H5:K5"/>
    <mergeCell ref="B5:F5"/>
    <mergeCell ref="I69:R69"/>
    <mergeCell ref="R18:R20"/>
    <mergeCell ref="J27:P27"/>
    <mergeCell ref="B30:P30"/>
    <mergeCell ref="I32:P32"/>
    <mergeCell ref="I38:P38"/>
    <mergeCell ref="A53:B53"/>
    <mergeCell ref="C53:C56"/>
    <mergeCell ref="I55:P55"/>
    <mergeCell ref="A57:B57"/>
    <mergeCell ref="I61:P61"/>
    <mergeCell ref="A63:B63"/>
    <mergeCell ref="I65:R65"/>
    <mergeCell ref="I67:R67"/>
    <mergeCell ref="M83:R83"/>
    <mergeCell ref="D71:R71"/>
    <mergeCell ref="D73:R73"/>
    <mergeCell ref="D75:R75"/>
    <mergeCell ref="M77:R77"/>
    <mergeCell ref="M79:R79"/>
    <mergeCell ref="M81:R81"/>
    <mergeCell ref="B79:D79"/>
  </mergeCells>
  <pageMargins left="0.39370078740157483" right="7.874015748031496E-2" top="0.39370078740157483" bottom="0.39370078740157483" header="0.31496062992125984" footer="0.31496062992125984"/>
  <pageSetup paperSize="9" scale="95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8" tint="0.59999389629810485"/>
    <pageSetUpPr fitToPage="1"/>
  </sheetPr>
  <dimension ref="A1:R84"/>
  <sheetViews>
    <sheetView showGridLines="0" showZeros="0" zoomScaleNormal="100" workbookViewId="0">
      <selection activeCell="C1" sqref="C1"/>
    </sheetView>
  </sheetViews>
  <sheetFormatPr baseColWidth="10" defaultColWidth="11.453125" defaultRowHeight="13" x14ac:dyDescent="0.3"/>
  <cols>
    <col min="1" max="1" width="2.453125" style="189" bestFit="1" customWidth="1"/>
    <col min="2" max="2" width="3.26953125" style="190" customWidth="1"/>
    <col min="3" max="3" width="12" style="190" customWidth="1"/>
    <col min="4" max="4" width="7.453125" style="190" customWidth="1"/>
    <col min="5" max="5" width="1.81640625" style="190" customWidth="1"/>
    <col min="6" max="6" width="10.26953125" style="190" customWidth="1"/>
    <col min="7" max="7" width="1.7265625" style="190" customWidth="1"/>
    <col min="8" max="9" width="5.7265625" style="190" customWidth="1"/>
    <col min="10" max="11" width="6.26953125" style="190" customWidth="1"/>
    <col min="12" max="12" width="4" style="190" customWidth="1"/>
    <col min="13" max="13" width="2.1796875" style="190" bestFit="1" customWidth="1"/>
    <col min="14" max="14" width="2.7265625" style="190" customWidth="1"/>
    <col min="15" max="15" width="14.7265625" style="190" customWidth="1"/>
    <col min="16" max="16" width="2.7265625" style="190" customWidth="1"/>
    <col min="17" max="17" width="1.7265625" style="190" customWidth="1"/>
    <col min="18" max="18" width="14.1796875" style="190" customWidth="1"/>
    <col min="19" max="16384" width="11.453125" style="190"/>
  </cols>
  <sheetData>
    <row r="1" spans="1:18" ht="17" x14ac:dyDescent="0.5">
      <c r="A1" s="195" t="s">
        <v>215</v>
      </c>
      <c r="B1" s="395" t="s">
        <v>216</v>
      </c>
      <c r="C1" s="214" t="s">
        <v>217</v>
      </c>
    </row>
    <row r="2" spans="1:18" ht="3" customHeight="1" x14ac:dyDescent="0.5">
      <c r="A2" s="195"/>
      <c r="C2" s="214"/>
    </row>
    <row r="3" spans="1:18" ht="17" x14ac:dyDescent="0.5">
      <c r="A3" s="195" t="s">
        <v>218</v>
      </c>
      <c r="B3" s="396"/>
      <c r="C3" s="214" t="s">
        <v>219</v>
      </c>
    </row>
    <row r="4" spans="1:18" ht="9" customHeight="1" x14ac:dyDescent="0.3">
      <c r="A4" s="195"/>
      <c r="C4" s="199"/>
    </row>
    <row r="5" spans="1:18" ht="13.5" customHeight="1" x14ac:dyDescent="0.3">
      <c r="A5" s="195" t="s">
        <v>220</v>
      </c>
      <c r="B5" s="557" t="str">
        <f>IF('PA 8'!$F$6="","",'PA 8'!$F$6)</f>
        <v/>
      </c>
      <c r="C5" s="557"/>
      <c r="D5" s="557"/>
      <c r="E5" s="557"/>
      <c r="F5" s="557"/>
      <c r="G5" s="375"/>
      <c r="H5" s="558" cm="1">
        <f t="array" ref="H5">'PA 8'!F7:F7</f>
        <v>0</v>
      </c>
      <c r="I5" s="558"/>
      <c r="J5" s="558"/>
      <c r="K5" s="558"/>
      <c r="M5" s="200" t="s">
        <v>221</v>
      </c>
      <c r="N5" s="396"/>
      <c r="O5" s="560" t="s">
        <v>222</v>
      </c>
      <c r="P5" s="560"/>
      <c r="Q5" s="560"/>
      <c r="R5" s="560"/>
    </row>
    <row r="6" spans="1:18" x14ac:dyDescent="0.3">
      <c r="A6" s="195"/>
      <c r="B6" s="194" t="s">
        <v>223</v>
      </c>
      <c r="C6" s="205"/>
      <c r="D6" s="194"/>
      <c r="E6" s="205"/>
      <c r="H6" s="194" t="s">
        <v>224</v>
      </c>
      <c r="M6" s="200"/>
      <c r="O6" s="560"/>
      <c r="P6" s="560"/>
      <c r="Q6" s="560"/>
      <c r="R6" s="560"/>
    </row>
    <row r="7" spans="1:18" ht="13.5" customHeight="1" x14ac:dyDescent="0.3">
      <c r="A7" s="195" t="s">
        <v>225</v>
      </c>
      <c r="B7" s="559">
        <f>'PA 8'!A21</f>
        <v>46387</v>
      </c>
      <c r="C7" s="559"/>
      <c r="E7" s="195" t="s">
        <v>226</v>
      </c>
      <c r="F7" s="397">
        <f>IF('PA 8'!$Q$37=0,0,IF('PA 8'!$C$14&lt;'PA 8'!$C$21,'PA 8'!$C$21,'PA 8'!$C$14))</f>
        <v>0</v>
      </c>
      <c r="G7" s="397"/>
      <c r="H7" s="1"/>
      <c r="I7" s="558">
        <f>IF('PA 8'!$Q$37=0,0,IF('PA 8'!$C$15&gt;0,'PA 8'!$C$15,B7))</f>
        <v>0</v>
      </c>
      <c r="J7" s="558"/>
      <c r="M7" s="200" t="s">
        <v>227</v>
      </c>
      <c r="N7" s="396"/>
      <c r="O7" s="560" t="s">
        <v>228</v>
      </c>
      <c r="P7" s="560"/>
      <c r="Q7" s="560"/>
      <c r="R7" s="560"/>
    </row>
    <row r="8" spans="1:18" x14ac:dyDescent="0.3">
      <c r="A8" s="195"/>
      <c r="B8" s="194" t="s">
        <v>229</v>
      </c>
      <c r="C8" s="194"/>
      <c r="D8" s="194"/>
      <c r="E8" s="194"/>
      <c r="F8" s="194" t="s">
        <v>230</v>
      </c>
      <c r="G8" s="194"/>
      <c r="H8" s="194"/>
      <c r="I8" s="194" t="s">
        <v>231</v>
      </c>
      <c r="M8" s="200"/>
      <c r="O8" s="560"/>
      <c r="P8" s="560"/>
      <c r="Q8" s="560"/>
      <c r="R8" s="560"/>
    </row>
    <row r="9" spans="1:18" x14ac:dyDescent="0.3">
      <c r="A9" s="195" t="s">
        <v>232</v>
      </c>
    </row>
    <row r="10" spans="1:18" x14ac:dyDescent="0.3">
      <c r="A10" s="195"/>
    </row>
    <row r="11" spans="1:18" x14ac:dyDescent="0.3">
      <c r="A11" s="195"/>
      <c r="L11" s="1" t="str">
        <f>CONCATENATE('PA 8'!C6:C6," ",'PA 8'!C7:C7)</f>
        <v xml:space="preserve"> </v>
      </c>
    </row>
    <row r="12" spans="1:18" x14ac:dyDescent="0.3">
      <c r="A12" s="195"/>
      <c r="L12" s="1">
        <f>'PA 8'!C8:C8</f>
        <v>0</v>
      </c>
    </row>
    <row r="13" spans="1:18" x14ac:dyDescent="0.3">
      <c r="A13" s="195"/>
      <c r="L13" s="1">
        <f>'PA 8'!C9:C9</f>
        <v>0</v>
      </c>
    </row>
    <row r="14" spans="1:18" x14ac:dyDescent="0.3">
      <c r="A14" s="195"/>
    </row>
    <row r="15" spans="1:18" x14ac:dyDescent="0.3">
      <c r="A15" s="195"/>
    </row>
    <row r="16" spans="1:18" x14ac:dyDescent="0.3">
      <c r="A16" s="195"/>
    </row>
    <row r="17" spans="1:18" x14ac:dyDescent="0.3">
      <c r="A17" s="195"/>
    </row>
    <row r="18" spans="1:18" ht="13.5" customHeight="1" x14ac:dyDescent="0.3">
      <c r="A18" s="195"/>
      <c r="R18" s="561" t="s">
        <v>233</v>
      </c>
    </row>
    <row r="19" spans="1:18" x14ac:dyDescent="0.3">
      <c r="A19" s="195">
        <v>1</v>
      </c>
      <c r="B19" s="189" t="s">
        <v>234</v>
      </c>
      <c r="C19" s="189"/>
      <c r="D19" s="189" t="s">
        <v>235</v>
      </c>
      <c r="E19" s="189"/>
      <c r="F19" s="189"/>
      <c r="G19" s="189"/>
      <c r="H19" s="189"/>
      <c r="I19" s="189"/>
      <c r="J19" s="193" t="s">
        <v>236</v>
      </c>
      <c r="K19" s="193"/>
      <c r="L19" s="189"/>
      <c r="M19" s="189"/>
      <c r="N19" s="189"/>
      <c r="Q19" s="213"/>
      <c r="R19" s="561"/>
    </row>
    <row r="20" spans="1:18" x14ac:dyDescent="0.3">
      <c r="A20" s="195"/>
      <c r="B20" s="189" t="s">
        <v>237</v>
      </c>
      <c r="C20" s="189"/>
      <c r="D20" s="189" t="s">
        <v>238</v>
      </c>
      <c r="E20" s="189"/>
      <c r="F20" s="189"/>
      <c r="G20" s="189"/>
      <c r="H20" s="189"/>
      <c r="I20" s="189"/>
      <c r="J20" s="193" t="s">
        <v>236</v>
      </c>
      <c r="K20" s="193"/>
      <c r="L20" s="189"/>
      <c r="M20" s="189"/>
      <c r="N20" s="189"/>
      <c r="Q20" s="213"/>
      <c r="R20" s="561"/>
    </row>
    <row r="21" spans="1:18" x14ac:dyDescent="0.3">
      <c r="A21" s="195"/>
      <c r="B21" s="201" t="s">
        <v>239</v>
      </c>
      <c r="C21" s="201"/>
      <c r="D21" s="201" t="s">
        <v>240</v>
      </c>
      <c r="E21" s="201"/>
      <c r="F21" s="201"/>
      <c r="G21" s="201"/>
      <c r="H21" s="201"/>
      <c r="I21" s="201"/>
      <c r="J21" s="202" t="s">
        <v>241</v>
      </c>
      <c r="K21" s="202"/>
      <c r="L21" s="201"/>
      <c r="M21" s="201"/>
      <c r="N21" s="201"/>
      <c r="O21" s="203"/>
      <c r="P21" s="203"/>
      <c r="R21" s="398">
        <f>'PA 8'!Q37-'PA 8'!Q31</f>
        <v>0</v>
      </c>
    </row>
    <row r="22" spans="1:18" ht="3" customHeight="1" x14ac:dyDescent="0.3">
      <c r="A22" s="195"/>
      <c r="B22" s="189"/>
      <c r="C22" s="189"/>
      <c r="D22" s="189"/>
      <c r="E22" s="189"/>
      <c r="F22" s="206"/>
      <c r="G22" s="206"/>
      <c r="H22" s="206"/>
      <c r="I22" s="206"/>
      <c r="J22" s="207"/>
      <c r="K22" s="207"/>
      <c r="L22" s="206"/>
      <c r="M22" s="206"/>
      <c r="N22" s="206"/>
      <c r="O22" s="208"/>
      <c r="P22" s="208"/>
      <c r="R22" s="215"/>
    </row>
    <row r="23" spans="1:18" x14ac:dyDescent="0.3">
      <c r="A23" s="195">
        <v>2</v>
      </c>
      <c r="B23" s="189" t="s">
        <v>242</v>
      </c>
      <c r="C23" s="189"/>
      <c r="D23" s="189"/>
      <c r="E23" s="189"/>
      <c r="F23" s="201" t="s">
        <v>303</v>
      </c>
      <c r="G23" s="201"/>
      <c r="H23" s="201"/>
      <c r="I23" s="203"/>
      <c r="J23" s="201"/>
      <c r="K23" s="201"/>
      <c r="L23" s="201"/>
      <c r="M23" s="201"/>
      <c r="N23" s="201"/>
      <c r="O23" s="203"/>
      <c r="P23" s="203"/>
      <c r="Q23" s="192" t="s">
        <v>244</v>
      </c>
      <c r="R23" s="399">
        <f>'PA 8'!Q31</f>
        <v>0</v>
      </c>
    </row>
    <row r="24" spans="1:18" ht="3" customHeight="1" x14ac:dyDescent="0.3">
      <c r="A24" s="195"/>
      <c r="B24" s="189"/>
      <c r="C24" s="189"/>
      <c r="D24" s="189"/>
      <c r="E24" s="189"/>
      <c r="F24" s="206"/>
      <c r="G24" s="206"/>
      <c r="H24" s="206"/>
      <c r="I24" s="208"/>
      <c r="J24" s="206"/>
      <c r="K24" s="206"/>
      <c r="L24" s="206"/>
      <c r="M24" s="206"/>
      <c r="N24" s="206"/>
      <c r="O24" s="208"/>
      <c r="P24" s="208"/>
      <c r="Q24" s="192"/>
      <c r="R24" s="215"/>
    </row>
    <row r="25" spans="1:18" x14ac:dyDescent="0.3">
      <c r="A25" s="195"/>
      <c r="B25" s="189" t="s">
        <v>245</v>
      </c>
      <c r="C25" s="189"/>
      <c r="D25" s="189"/>
      <c r="E25" s="189"/>
      <c r="F25" s="201" t="s">
        <v>304</v>
      </c>
      <c r="G25" s="201"/>
      <c r="H25" s="201"/>
      <c r="I25" s="201"/>
      <c r="J25" s="201"/>
      <c r="K25" s="201"/>
      <c r="L25" s="201"/>
      <c r="M25" s="201"/>
      <c r="N25" s="201"/>
      <c r="O25" s="203"/>
      <c r="P25" s="203"/>
      <c r="Q25" s="192" t="s">
        <v>244</v>
      </c>
      <c r="R25" s="399"/>
    </row>
    <row r="26" spans="1:18" ht="3" customHeight="1" x14ac:dyDescent="0.3">
      <c r="A26" s="195"/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Q26" s="192"/>
      <c r="R26" s="216"/>
    </row>
    <row r="27" spans="1:18" x14ac:dyDescent="0.3">
      <c r="A27" s="195"/>
      <c r="B27" s="189" t="s">
        <v>247</v>
      </c>
      <c r="C27" s="189"/>
      <c r="D27" s="189"/>
      <c r="E27" s="189"/>
      <c r="F27" s="189" t="s">
        <v>305</v>
      </c>
      <c r="G27" s="189"/>
      <c r="H27" s="189"/>
      <c r="I27" s="189"/>
      <c r="J27" s="553"/>
      <c r="K27" s="553"/>
      <c r="L27" s="553"/>
      <c r="M27" s="553"/>
      <c r="N27" s="553"/>
      <c r="O27" s="553"/>
      <c r="P27" s="553"/>
      <c r="Q27" s="192" t="s">
        <v>244</v>
      </c>
      <c r="R27" s="399"/>
    </row>
    <row r="28" spans="1:18" ht="9.75" customHeight="1" x14ac:dyDescent="0.3">
      <c r="A28" s="195"/>
      <c r="B28" s="189"/>
      <c r="C28" s="189"/>
      <c r="D28" s="189"/>
      <c r="E28" s="189"/>
      <c r="F28" s="191" t="s">
        <v>249</v>
      </c>
      <c r="G28" s="191"/>
      <c r="H28" s="191"/>
      <c r="I28" s="189"/>
      <c r="J28" s="189"/>
      <c r="K28" s="189"/>
      <c r="L28" s="189"/>
      <c r="M28" s="189"/>
      <c r="N28" s="189"/>
      <c r="R28" s="217"/>
    </row>
    <row r="29" spans="1:18" x14ac:dyDescent="0.3">
      <c r="A29" s="195">
        <v>3</v>
      </c>
      <c r="B29" s="189" t="s">
        <v>250</v>
      </c>
      <c r="C29" s="189"/>
      <c r="D29" s="189"/>
      <c r="E29" s="189"/>
      <c r="F29" s="189"/>
      <c r="G29" s="189"/>
      <c r="H29" s="189"/>
      <c r="I29" s="189"/>
      <c r="J29" s="189"/>
      <c r="K29" s="191" t="s">
        <v>249</v>
      </c>
      <c r="M29" s="189"/>
      <c r="N29" s="189"/>
      <c r="Q29" s="192" t="s">
        <v>244</v>
      </c>
      <c r="R29" s="217"/>
    </row>
    <row r="30" spans="1:18" x14ac:dyDescent="0.3">
      <c r="A30" s="195"/>
      <c r="B30" s="553"/>
      <c r="C30" s="553"/>
      <c r="D30" s="553"/>
      <c r="E30" s="553"/>
      <c r="F30" s="553"/>
      <c r="G30" s="553"/>
      <c r="H30" s="553"/>
      <c r="I30" s="553"/>
      <c r="J30" s="553"/>
      <c r="K30" s="553"/>
      <c r="L30" s="553"/>
      <c r="M30" s="553"/>
      <c r="N30" s="553"/>
      <c r="O30" s="553"/>
      <c r="P30" s="553"/>
      <c r="R30" s="399"/>
    </row>
    <row r="31" spans="1:18" ht="3" customHeight="1" x14ac:dyDescent="0.3">
      <c r="A31" s="195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R31" s="215"/>
    </row>
    <row r="32" spans="1:18" x14ac:dyDescent="0.3">
      <c r="A32" s="195">
        <v>4</v>
      </c>
      <c r="B32" s="189" t="s">
        <v>251</v>
      </c>
      <c r="C32" s="189"/>
      <c r="D32" s="189"/>
      <c r="E32" s="189"/>
      <c r="F32" s="189"/>
      <c r="G32" s="189"/>
      <c r="H32" s="189"/>
      <c r="I32" s="553"/>
      <c r="J32" s="553"/>
      <c r="K32" s="553"/>
      <c r="L32" s="553"/>
      <c r="M32" s="553"/>
      <c r="N32" s="553"/>
      <c r="O32" s="553"/>
      <c r="P32" s="553"/>
      <c r="Q32" s="192" t="s">
        <v>244</v>
      </c>
      <c r="R32" s="399"/>
    </row>
    <row r="33" spans="1:18" ht="9" customHeight="1" x14ac:dyDescent="0.3">
      <c r="A33" s="195"/>
      <c r="B33" s="191" t="s">
        <v>249</v>
      </c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R33" s="217"/>
    </row>
    <row r="34" spans="1:18" x14ac:dyDescent="0.3">
      <c r="A34" s="195">
        <v>5</v>
      </c>
      <c r="B34" s="201" t="s">
        <v>252</v>
      </c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3"/>
      <c r="P34" s="203"/>
      <c r="Q34" s="192" t="s">
        <v>244</v>
      </c>
      <c r="R34" s="399"/>
    </row>
    <row r="35" spans="1:18" ht="3" customHeight="1" x14ac:dyDescent="0.3">
      <c r="A35" s="195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Q35" s="192"/>
      <c r="R35" s="216"/>
    </row>
    <row r="36" spans="1:18" x14ac:dyDescent="0.3">
      <c r="A36" s="195">
        <v>6</v>
      </c>
      <c r="B36" s="201" t="s">
        <v>253</v>
      </c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3"/>
      <c r="P36" s="203"/>
      <c r="Q36" s="192" t="s">
        <v>244</v>
      </c>
      <c r="R36" s="399"/>
    </row>
    <row r="37" spans="1:18" ht="3" customHeight="1" x14ac:dyDescent="0.3">
      <c r="A37" s="195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Q37" s="192"/>
      <c r="R37" s="216"/>
    </row>
    <row r="38" spans="1:18" x14ac:dyDescent="0.3">
      <c r="A38" s="195">
        <v>7</v>
      </c>
      <c r="B38" s="189" t="s">
        <v>254</v>
      </c>
      <c r="C38" s="189"/>
      <c r="D38" s="189"/>
      <c r="E38" s="189"/>
      <c r="F38" s="189"/>
      <c r="G38" s="189"/>
      <c r="H38" s="189"/>
      <c r="I38" s="553"/>
      <c r="J38" s="553"/>
      <c r="K38" s="553"/>
      <c r="L38" s="553"/>
      <c r="M38" s="553"/>
      <c r="N38" s="553"/>
      <c r="O38" s="553"/>
      <c r="P38" s="553"/>
      <c r="Q38" s="192" t="s">
        <v>244</v>
      </c>
      <c r="R38" s="399"/>
    </row>
    <row r="39" spans="1:18" ht="9" customHeight="1" x14ac:dyDescent="0.3">
      <c r="A39" s="195"/>
      <c r="B39" s="191" t="s">
        <v>249</v>
      </c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R39" s="217"/>
    </row>
    <row r="40" spans="1:18" x14ac:dyDescent="0.3">
      <c r="A40" s="195">
        <v>8</v>
      </c>
      <c r="B40" s="201" t="s">
        <v>255</v>
      </c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3"/>
      <c r="P40" s="203"/>
      <c r="Q40" s="192" t="s">
        <v>256</v>
      </c>
      <c r="R40" s="399">
        <f>SUM(R21:R39)</f>
        <v>0</v>
      </c>
    </row>
    <row r="41" spans="1:18" ht="3" customHeight="1" x14ac:dyDescent="0.3">
      <c r="A41" s="195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Q41" s="192"/>
      <c r="R41" s="216"/>
    </row>
    <row r="42" spans="1:18" x14ac:dyDescent="0.3">
      <c r="A42" s="195">
        <v>9</v>
      </c>
      <c r="B42" s="201" t="s">
        <v>257</v>
      </c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3"/>
      <c r="P42" s="203"/>
      <c r="Q42" s="192" t="s">
        <v>44</v>
      </c>
      <c r="R42" s="399">
        <f>('PA 8'!Q40+'PA 8'!Q41+'PA 8'!Q42)*-1</f>
        <v>0</v>
      </c>
    </row>
    <row r="43" spans="1:18" ht="3" customHeight="1" x14ac:dyDescent="0.3">
      <c r="A43" s="195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Q43" s="192"/>
      <c r="R43" s="216"/>
    </row>
    <row r="44" spans="1:18" x14ac:dyDescent="0.3">
      <c r="A44" s="195">
        <v>10</v>
      </c>
      <c r="B44" s="189" t="s">
        <v>258</v>
      </c>
      <c r="C44" s="189"/>
      <c r="D44" s="189"/>
      <c r="E44" s="189" t="s">
        <v>259</v>
      </c>
      <c r="F44" s="189"/>
      <c r="G44" s="189"/>
      <c r="H44" s="201" t="s">
        <v>306</v>
      </c>
      <c r="I44" s="203"/>
      <c r="J44" s="201"/>
      <c r="K44" s="201"/>
      <c r="L44" s="201"/>
      <c r="M44" s="201"/>
      <c r="N44" s="201"/>
      <c r="O44" s="203"/>
      <c r="P44" s="203"/>
      <c r="Q44" s="192" t="s">
        <v>44</v>
      </c>
      <c r="R44" s="399">
        <f>'PA 8'!Q44*-1</f>
        <v>0</v>
      </c>
    </row>
    <row r="45" spans="1:18" x14ac:dyDescent="0.3">
      <c r="A45" s="195"/>
      <c r="B45" s="189" t="s">
        <v>261</v>
      </c>
      <c r="C45" s="189"/>
      <c r="D45" s="189"/>
      <c r="E45" s="189" t="s">
        <v>307</v>
      </c>
      <c r="F45" s="189"/>
      <c r="G45" s="189"/>
      <c r="H45" s="189"/>
      <c r="J45" s="189"/>
      <c r="K45" s="189"/>
      <c r="L45" s="189"/>
      <c r="M45" s="189"/>
      <c r="N45" s="189"/>
      <c r="R45" s="217"/>
    </row>
    <row r="46" spans="1:18" x14ac:dyDescent="0.3">
      <c r="A46" s="195"/>
      <c r="B46" s="189" t="s">
        <v>263</v>
      </c>
      <c r="C46" s="189"/>
      <c r="E46" s="189" t="s">
        <v>308</v>
      </c>
      <c r="H46" s="201" t="s">
        <v>309</v>
      </c>
      <c r="I46" s="203"/>
      <c r="J46" s="203"/>
      <c r="K46" s="203"/>
      <c r="L46" s="203"/>
      <c r="M46" s="203"/>
      <c r="N46" s="203"/>
      <c r="O46" s="203"/>
      <c r="P46" s="203"/>
      <c r="Q46" s="192" t="s">
        <v>44</v>
      </c>
      <c r="R46" s="399"/>
    </row>
    <row r="47" spans="1:18" ht="3" customHeight="1" x14ac:dyDescent="0.3">
      <c r="A47" s="195"/>
      <c r="B47" s="189"/>
      <c r="C47" s="189"/>
      <c r="E47" s="189"/>
      <c r="H47" s="189"/>
      <c r="Q47" s="192"/>
      <c r="R47" s="216"/>
    </row>
    <row r="48" spans="1:18" x14ac:dyDescent="0.3">
      <c r="A48" s="195">
        <v>11</v>
      </c>
      <c r="B48" s="204" t="s">
        <v>266</v>
      </c>
      <c r="C48" s="201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3"/>
      <c r="O48" s="203"/>
      <c r="P48" s="203"/>
      <c r="Q48" s="192" t="s">
        <v>256</v>
      </c>
      <c r="R48" s="399">
        <f>R40-SUM(R42:R46)</f>
        <v>0</v>
      </c>
    </row>
    <row r="49" spans="1:18" ht="9" customHeight="1" x14ac:dyDescent="0.3">
      <c r="A49" s="195"/>
      <c r="B49" s="196" t="s">
        <v>267</v>
      </c>
      <c r="C49" s="189"/>
      <c r="R49" s="217"/>
    </row>
    <row r="50" spans="1:18" x14ac:dyDescent="0.3">
      <c r="A50" s="195">
        <v>12</v>
      </c>
      <c r="B50" s="201" t="s">
        <v>268</v>
      </c>
      <c r="C50" s="201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R50" s="399">
        <f>'PA 8'!Q46*-1</f>
        <v>0</v>
      </c>
    </row>
    <row r="51" spans="1:18" x14ac:dyDescent="0.3">
      <c r="A51" s="195">
        <v>13</v>
      </c>
      <c r="B51" s="189" t="s">
        <v>269</v>
      </c>
      <c r="C51" s="189"/>
      <c r="R51" s="218"/>
    </row>
    <row r="52" spans="1:18" ht="9" customHeight="1" x14ac:dyDescent="0.3">
      <c r="B52" s="191" t="s">
        <v>270</v>
      </c>
      <c r="R52" s="218"/>
    </row>
    <row r="53" spans="1:18" ht="13.5" customHeight="1" x14ac:dyDescent="0.3">
      <c r="A53" s="562">
        <v>13.1</v>
      </c>
      <c r="B53" s="562"/>
      <c r="C53" s="564" t="s">
        <v>271</v>
      </c>
      <c r="D53" s="197" t="s">
        <v>272</v>
      </c>
      <c r="E53" s="201" t="s">
        <v>273</v>
      </c>
      <c r="F53" s="201"/>
      <c r="G53" s="201"/>
      <c r="H53" s="201"/>
      <c r="I53" s="203"/>
      <c r="J53" s="203"/>
      <c r="K53" s="203"/>
      <c r="L53" s="203"/>
      <c r="M53" s="203"/>
      <c r="N53" s="203"/>
      <c r="O53" s="203"/>
      <c r="P53" s="395" t="s">
        <v>216</v>
      </c>
      <c r="R53" s="401"/>
    </row>
    <row r="54" spans="1:18" ht="3" customHeight="1" x14ac:dyDescent="0.3">
      <c r="A54" s="210"/>
      <c r="B54" s="210"/>
      <c r="C54" s="564"/>
      <c r="D54" s="197"/>
      <c r="E54" s="189"/>
      <c r="F54" s="189"/>
      <c r="G54" s="189"/>
      <c r="H54" s="189"/>
      <c r="R54" s="219"/>
    </row>
    <row r="55" spans="1:18" x14ac:dyDescent="0.3">
      <c r="A55" s="195"/>
      <c r="B55" s="195"/>
      <c r="C55" s="564"/>
      <c r="D55" s="198" t="s">
        <v>274</v>
      </c>
      <c r="E55" s="189" t="s">
        <v>275</v>
      </c>
      <c r="F55" s="189"/>
      <c r="G55" s="189"/>
      <c r="H55" s="189"/>
      <c r="I55" s="554"/>
      <c r="J55" s="554"/>
      <c r="K55" s="554"/>
      <c r="L55" s="554"/>
      <c r="M55" s="554"/>
      <c r="N55" s="554"/>
      <c r="O55" s="554"/>
      <c r="P55" s="554"/>
      <c r="R55" s="401"/>
    </row>
    <row r="56" spans="1:18" ht="9" customHeight="1" x14ac:dyDescent="0.3">
      <c r="A56" s="195"/>
      <c r="B56" s="195"/>
      <c r="C56" s="564"/>
      <c r="D56" s="199"/>
      <c r="E56" s="194" t="s">
        <v>249</v>
      </c>
      <c r="R56" s="218"/>
    </row>
    <row r="57" spans="1:18" x14ac:dyDescent="0.3">
      <c r="A57" s="563">
        <v>13.2</v>
      </c>
      <c r="B57" s="563"/>
      <c r="C57" s="189" t="s">
        <v>276</v>
      </c>
      <c r="D57" s="198" t="s">
        <v>277</v>
      </c>
      <c r="E57" s="201" t="s">
        <v>278</v>
      </c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R57" s="401"/>
    </row>
    <row r="58" spans="1:18" ht="3" customHeight="1" x14ac:dyDescent="0.3">
      <c r="A58" s="211"/>
      <c r="B58" s="211"/>
      <c r="C58" s="189"/>
      <c r="D58" s="198"/>
      <c r="E58" s="189"/>
      <c r="R58" s="220"/>
    </row>
    <row r="59" spans="1:18" x14ac:dyDescent="0.3">
      <c r="A59" s="195"/>
      <c r="B59" s="195"/>
      <c r="C59" s="189" t="s">
        <v>279</v>
      </c>
      <c r="D59" s="198" t="s">
        <v>280</v>
      </c>
      <c r="E59" s="201" t="s">
        <v>281</v>
      </c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R59" s="401"/>
    </row>
    <row r="60" spans="1:18" ht="3" customHeight="1" x14ac:dyDescent="0.3">
      <c r="A60" s="195"/>
      <c r="B60" s="195"/>
      <c r="C60" s="189"/>
      <c r="D60" s="198"/>
      <c r="E60" s="189"/>
      <c r="I60" s="208"/>
      <c r="J60" s="208"/>
      <c r="K60" s="208"/>
      <c r="L60" s="208"/>
      <c r="M60" s="208"/>
      <c r="N60" s="208"/>
      <c r="O60" s="208"/>
      <c r="P60" s="208"/>
      <c r="R60" s="220"/>
    </row>
    <row r="61" spans="1:18" x14ac:dyDescent="0.3">
      <c r="A61" s="195"/>
      <c r="B61" s="195"/>
      <c r="C61" s="189" t="s">
        <v>282</v>
      </c>
      <c r="D61" s="198" t="s">
        <v>283</v>
      </c>
      <c r="E61" s="189" t="s">
        <v>275</v>
      </c>
      <c r="I61" s="554"/>
      <c r="J61" s="554"/>
      <c r="K61" s="554"/>
      <c r="L61" s="554"/>
      <c r="M61" s="554"/>
      <c r="N61" s="554"/>
      <c r="O61" s="554"/>
      <c r="P61" s="554"/>
      <c r="R61" s="401"/>
    </row>
    <row r="62" spans="1:18" ht="9" customHeight="1" x14ac:dyDescent="0.3">
      <c r="B62" s="189"/>
      <c r="C62" s="189"/>
      <c r="E62" s="194" t="s">
        <v>249</v>
      </c>
      <c r="R62" s="218"/>
    </row>
    <row r="63" spans="1:18" x14ac:dyDescent="0.3">
      <c r="A63" s="562">
        <v>13.3</v>
      </c>
      <c r="B63" s="562"/>
      <c r="C63" s="201" t="s">
        <v>284</v>
      </c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R63" s="401"/>
    </row>
    <row r="64" spans="1:18" ht="3" customHeight="1" x14ac:dyDescent="0.3">
      <c r="A64" s="210"/>
      <c r="B64" s="210"/>
      <c r="C64" s="189"/>
    </row>
    <row r="65" spans="1:18" x14ac:dyDescent="0.3">
      <c r="A65" s="195">
        <v>14</v>
      </c>
      <c r="B65" s="189" t="s">
        <v>285</v>
      </c>
      <c r="C65" s="189"/>
      <c r="F65" s="189" t="s">
        <v>286</v>
      </c>
      <c r="G65" s="189"/>
      <c r="H65" s="189"/>
      <c r="I65" s="554"/>
      <c r="J65" s="554"/>
      <c r="K65" s="554"/>
      <c r="L65" s="554"/>
      <c r="M65" s="554"/>
      <c r="N65" s="554"/>
      <c r="O65" s="554"/>
      <c r="P65" s="554"/>
      <c r="Q65" s="554"/>
      <c r="R65" s="554"/>
    </row>
    <row r="66" spans="1:18" ht="3" customHeight="1" x14ac:dyDescent="0.3">
      <c r="A66" s="195"/>
      <c r="B66" s="189"/>
      <c r="C66" s="189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2"/>
      <c r="O66" s="212"/>
      <c r="P66" s="212"/>
      <c r="Q66" s="212"/>
      <c r="R66" s="212"/>
    </row>
    <row r="67" spans="1:18" x14ac:dyDescent="0.3">
      <c r="A67" s="195"/>
      <c r="B67" s="189" t="s">
        <v>287</v>
      </c>
      <c r="C67" s="189"/>
      <c r="F67" s="189" t="s">
        <v>288</v>
      </c>
      <c r="G67" s="189"/>
      <c r="H67" s="189"/>
      <c r="I67" s="554"/>
      <c r="J67" s="554"/>
      <c r="K67" s="554"/>
      <c r="L67" s="554"/>
      <c r="M67" s="554"/>
      <c r="N67" s="554"/>
      <c r="O67" s="554"/>
      <c r="P67" s="554"/>
      <c r="Q67" s="554"/>
      <c r="R67" s="554"/>
    </row>
    <row r="68" spans="1:18" ht="3" customHeight="1" x14ac:dyDescent="0.3">
      <c r="A68" s="195"/>
      <c r="B68" s="189"/>
      <c r="C68" s="189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2"/>
      <c r="Q68" s="212"/>
      <c r="R68" s="212"/>
    </row>
    <row r="69" spans="1:18" x14ac:dyDescent="0.3">
      <c r="A69" s="195"/>
      <c r="B69" s="189" t="s">
        <v>289</v>
      </c>
      <c r="C69" s="189"/>
      <c r="F69" s="189" t="s">
        <v>290</v>
      </c>
      <c r="G69" s="189"/>
      <c r="H69" s="189"/>
      <c r="I69" s="554"/>
      <c r="J69" s="554"/>
      <c r="K69" s="554"/>
      <c r="L69" s="554"/>
      <c r="M69" s="554"/>
      <c r="N69" s="554"/>
      <c r="O69" s="554"/>
      <c r="P69" s="554"/>
      <c r="Q69" s="554"/>
      <c r="R69" s="554"/>
    </row>
    <row r="70" spans="1:18" ht="3" customHeight="1" x14ac:dyDescent="0.3">
      <c r="A70" s="195"/>
      <c r="B70" s="189"/>
      <c r="C70" s="189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2"/>
      <c r="O70" s="212"/>
      <c r="P70" s="212"/>
      <c r="Q70" s="212"/>
      <c r="R70" s="212"/>
    </row>
    <row r="71" spans="1:18" x14ac:dyDescent="0.3">
      <c r="A71" s="195">
        <v>15</v>
      </c>
      <c r="B71" s="189" t="s">
        <v>291</v>
      </c>
      <c r="C71" s="189"/>
      <c r="D71" s="556" t="str">
        <f>IF('PA 8'!L7&lt;100%,"Taux d'occupation "&amp;('PA 8'!L7+'PA 8'!L12)*100&amp;"%","")</f>
        <v>Taux d'occupation 0%</v>
      </c>
      <c r="E71" s="556"/>
      <c r="F71" s="556"/>
      <c r="G71" s="556"/>
      <c r="H71" s="556"/>
      <c r="I71" s="556"/>
      <c r="J71" s="556"/>
      <c r="K71" s="556"/>
      <c r="L71" s="556"/>
      <c r="M71" s="556"/>
      <c r="N71" s="556"/>
      <c r="O71" s="556"/>
      <c r="P71" s="556"/>
      <c r="Q71" s="556"/>
      <c r="R71" s="556"/>
    </row>
    <row r="72" spans="1:18" ht="3" customHeight="1" x14ac:dyDescent="0.3">
      <c r="A72" s="195"/>
      <c r="B72" s="189"/>
      <c r="C72" s="189"/>
      <c r="D72" s="223"/>
      <c r="E72" s="223"/>
      <c r="F72" s="223"/>
      <c r="G72" s="223"/>
      <c r="H72" s="223"/>
      <c r="I72" s="223"/>
      <c r="J72" s="223"/>
      <c r="K72" s="223"/>
      <c r="L72" s="223"/>
      <c r="M72" s="223"/>
      <c r="N72" s="223"/>
      <c r="O72" s="223"/>
      <c r="P72" s="223"/>
      <c r="Q72" s="223"/>
      <c r="R72" s="223"/>
    </row>
    <row r="73" spans="1:18" x14ac:dyDescent="0.3">
      <c r="A73" s="195"/>
      <c r="B73" s="189" t="s">
        <v>292</v>
      </c>
      <c r="C73" s="189"/>
      <c r="D73" s="557"/>
      <c r="E73" s="557"/>
      <c r="F73" s="557"/>
      <c r="G73" s="557"/>
      <c r="H73" s="557"/>
      <c r="I73" s="557"/>
      <c r="J73" s="557"/>
      <c r="K73" s="557"/>
      <c r="L73" s="557"/>
      <c r="M73" s="557"/>
      <c r="N73" s="557"/>
      <c r="O73" s="557"/>
      <c r="P73" s="557"/>
      <c r="Q73" s="557"/>
      <c r="R73" s="557"/>
    </row>
    <row r="74" spans="1:18" ht="3" customHeight="1" x14ac:dyDescent="0.3">
      <c r="A74" s="195"/>
      <c r="B74" s="189"/>
      <c r="C74" s="189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</row>
    <row r="75" spans="1:18" x14ac:dyDescent="0.3">
      <c r="A75" s="195"/>
      <c r="B75" s="189" t="s">
        <v>293</v>
      </c>
      <c r="C75" s="189"/>
      <c r="D75" s="557"/>
      <c r="E75" s="557"/>
      <c r="F75" s="557"/>
      <c r="G75" s="557"/>
      <c r="H75" s="557"/>
      <c r="I75" s="557"/>
      <c r="J75" s="557"/>
      <c r="K75" s="557"/>
      <c r="L75" s="557"/>
      <c r="M75" s="557"/>
      <c r="N75" s="557"/>
      <c r="O75" s="557"/>
      <c r="P75" s="557"/>
      <c r="Q75" s="557"/>
      <c r="R75" s="557"/>
    </row>
    <row r="76" spans="1:18" x14ac:dyDescent="0.3">
      <c r="A76" s="195"/>
      <c r="B76" s="189"/>
      <c r="C76" s="189"/>
    </row>
    <row r="77" spans="1:18" x14ac:dyDescent="0.3">
      <c r="A77" s="195" t="s">
        <v>294</v>
      </c>
      <c r="B77" s="189" t="s">
        <v>295</v>
      </c>
      <c r="C77" s="189"/>
      <c r="F77" s="189" t="s">
        <v>296</v>
      </c>
      <c r="G77" s="189"/>
      <c r="M77" s="565">
        <f>'Attestation du salaire (ord.)'!A8:A8</f>
        <v>0</v>
      </c>
      <c r="N77" s="565"/>
      <c r="O77" s="565"/>
      <c r="P77" s="565"/>
      <c r="Q77" s="565"/>
      <c r="R77" s="565"/>
    </row>
    <row r="78" spans="1:18" ht="9" customHeight="1" x14ac:dyDescent="0.3">
      <c r="B78" s="189"/>
      <c r="C78" s="189"/>
      <c r="F78" s="191" t="s">
        <v>297</v>
      </c>
      <c r="G78" s="191"/>
      <c r="M78" s="221"/>
      <c r="N78" s="221"/>
      <c r="O78" s="221"/>
      <c r="P78" s="221"/>
      <c r="Q78" s="221"/>
      <c r="R78" s="221"/>
    </row>
    <row r="79" spans="1:18" x14ac:dyDescent="0.3">
      <c r="B79" s="555"/>
      <c r="C79" s="555"/>
      <c r="D79" s="555"/>
      <c r="F79" s="189" t="s">
        <v>298</v>
      </c>
      <c r="G79" s="189"/>
      <c r="M79" s="498">
        <f>'Attestation du salaire (ord.)'!A9:A9</f>
        <v>0</v>
      </c>
      <c r="N79" s="498"/>
      <c r="O79" s="498"/>
      <c r="P79" s="498"/>
      <c r="Q79" s="498"/>
      <c r="R79" s="498"/>
    </row>
    <row r="80" spans="1:18" ht="9" customHeight="1" x14ac:dyDescent="0.3">
      <c r="B80" s="189"/>
      <c r="C80" s="189"/>
      <c r="F80" s="191" t="s">
        <v>299</v>
      </c>
      <c r="G80" s="191"/>
      <c r="M80" s="221"/>
      <c r="N80" s="221"/>
      <c r="O80" s="221"/>
      <c r="P80" s="221"/>
      <c r="Q80" s="221"/>
      <c r="R80" s="221"/>
    </row>
    <row r="81" spans="2:18" ht="13.5" customHeight="1" x14ac:dyDescent="0.3">
      <c r="B81" s="189"/>
      <c r="C81" s="189"/>
      <c r="F81" s="189" t="s">
        <v>300</v>
      </c>
      <c r="G81" s="189"/>
      <c r="M81" s="565">
        <f>'Attestation du salaire (ord.)'!A10:A10</f>
        <v>0</v>
      </c>
      <c r="N81" s="565"/>
      <c r="O81" s="565"/>
      <c r="P81" s="565"/>
      <c r="Q81" s="565"/>
      <c r="R81" s="565"/>
    </row>
    <row r="82" spans="2:18" ht="9" customHeight="1" x14ac:dyDescent="0.3">
      <c r="B82" s="189"/>
      <c r="C82" s="189"/>
      <c r="F82" s="191" t="s">
        <v>301</v>
      </c>
      <c r="G82" s="191"/>
      <c r="M82" s="222"/>
      <c r="N82" s="222"/>
      <c r="O82" s="222"/>
      <c r="P82" s="222"/>
      <c r="Q82" s="222"/>
      <c r="R82" s="222"/>
    </row>
    <row r="83" spans="2:18" ht="13.5" customHeight="1" x14ac:dyDescent="0.3">
      <c r="B83" s="189"/>
      <c r="C83" s="189"/>
      <c r="I83" s="189"/>
      <c r="M83" s="565" t="str">
        <f>'CS 1'!M83:R83</f>
        <v>Entrez le numéro de téléphone ici</v>
      </c>
      <c r="N83" s="565"/>
      <c r="O83" s="565"/>
      <c r="P83" s="565"/>
      <c r="Q83" s="565"/>
      <c r="R83" s="565"/>
    </row>
    <row r="84" spans="2:18" x14ac:dyDescent="0.3">
      <c r="B84" s="189"/>
      <c r="C84" s="189"/>
    </row>
  </sheetData>
  <sheetProtection algorithmName="SHA-512" hashValue="caNA4uO6ZgqaYt7WinpPK6qqmqWcmfqbOuOv4lQJqfBNSsFs84N+uHGFBKwpabj36K/KorgjWwo+BRcSl+e6Aw==" saltValue="xFDcf5+0rDHZK0VU86q53Q==" spinCount="100000" sheet="1" objects="1" scenarios="1"/>
  <mergeCells count="28">
    <mergeCell ref="O5:R6"/>
    <mergeCell ref="B7:C7"/>
    <mergeCell ref="I7:J7"/>
    <mergeCell ref="O7:R8"/>
    <mergeCell ref="H5:K5"/>
    <mergeCell ref="B5:F5"/>
    <mergeCell ref="I69:R69"/>
    <mergeCell ref="R18:R20"/>
    <mergeCell ref="J27:P27"/>
    <mergeCell ref="B30:P30"/>
    <mergeCell ref="I32:P32"/>
    <mergeCell ref="I38:P38"/>
    <mergeCell ref="A53:B53"/>
    <mergeCell ref="C53:C56"/>
    <mergeCell ref="I55:P55"/>
    <mergeCell ref="A57:B57"/>
    <mergeCell ref="I61:P61"/>
    <mergeCell ref="A63:B63"/>
    <mergeCell ref="I65:R65"/>
    <mergeCell ref="I67:R67"/>
    <mergeCell ref="M83:R83"/>
    <mergeCell ref="D71:R71"/>
    <mergeCell ref="D73:R73"/>
    <mergeCell ref="D75:R75"/>
    <mergeCell ref="M77:R77"/>
    <mergeCell ref="M79:R79"/>
    <mergeCell ref="M81:R81"/>
    <mergeCell ref="B79:D79"/>
  </mergeCells>
  <pageMargins left="0.39370078740157483" right="7.874015748031496E-2" top="0.39370078740157483" bottom="0.39370078740157483" header="0.31496062992125984" footer="0.31496062992125984"/>
  <pageSetup paperSize="9" scale="95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8" tint="0.59999389629810485"/>
    <pageSetUpPr fitToPage="1"/>
  </sheetPr>
  <dimension ref="A1:R84"/>
  <sheetViews>
    <sheetView showGridLines="0" showZeros="0" zoomScaleNormal="100" workbookViewId="0">
      <selection activeCell="C1" sqref="C1"/>
    </sheetView>
  </sheetViews>
  <sheetFormatPr baseColWidth="10" defaultColWidth="11.453125" defaultRowHeight="13" x14ac:dyDescent="0.3"/>
  <cols>
    <col min="1" max="1" width="2.453125" style="189" bestFit="1" customWidth="1"/>
    <col min="2" max="2" width="3.26953125" style="190" customWidth="1"/>
    <col min="3" max="3" width="12" style="190" customWidth="1"/>
    <col min="4" max="4" width="7.453125" style="190" customWidth="1"/>
    <col min="5" max="5" width="1.81640625" style="190" customWidth="1"/>
    <col min="6" max="6" width="10.26953125" style="190" customWidth="1"/>
    <col min="7" max="7" width="1.7265625" style="190" customWidth="1"/>
    <col min="8" max="9" width="5.7265625" style="190" customWidth="1"/>
    <col min="10" max="11" width="6.26953125" style="190" customWidth="1"/>
    <col min="12" max="12" width="4" style="190" customWidth="1"/>
    <col min="13" max="13" width="2.1796875" style="190" bestFit="1" customWidth="1"/>
    <col min="14" max="14" width="2.7265625" style="190" customWidth="1"/>
    <col min="15" max="15" width="14.7265625" style="190" customWidth="1"/>
    <col min="16" max="16" width="2.7265625" style="190" customWidth="1"/>
    <col min="17" max="17" width="1.7265625" style="190" customWidth="1"/>
    <col min="18" max="18" width="14.1796875" style="190" customWidth="1"/>
    <col min="19" max="16384" width="11.453125" style="190"/>
  </cols>
  <sheetData>
    <row r="1" spans="1:18" ht="17" x14ac:dyDescent="0.5">
      <c r="A1" s="195" t="s">
        <v>215</v>
      </c>
      <c r="B1" s="395" t="s">
        <v>216</v>
      </c>
      <c r="C1" s="214" t="s">
        <v>217</v>
      </c>
    </row>
    <row r="2" spans="1:18" ht="3" customHeight="1" x14ac:dyDescent="0.5">
      <c r="A2" s="195"/>
      <c r="C2" s="214"/>
    </row>
    <row r="3" spans="1:18" ht="17" x14ac:dyDescent="0.5">
      <c r="A3" s="195" t="s">
        <v>218</v>
      </c>
      <c r="B3" s="396"/>
      <c r="C3" s="214" t="s">
        <v>219</v>
      </c>
    </row>
    <row r="4" spans="1:18" ht="9" customHeight="1" x14ac:dyDescent="0.3">
      <c r="A4" s="195"/>
      <c r="C4" s="199"/>
    </row>
    <row r="5" spans="1:18" ht="13.5" customHeight="1" x14ac:dyDescent="0.3">
      <c r="A5" s="195" t="s">
        <v>220</v>
      </c>
      <c r="B5" s="557" t="str">
        <f>IF('PA 9'!$F$6="","",'PA 9'!$F$6)</f>
        <v/>
      </c>
      <c r="C5" s="557"/>
      <c r="D5" s="557"/>
      <c r="E5" s="557"/>
      <c r="F5" s="557"/>
      <c r="G5" s="375"/>
      <c r="H5" s="558" cm="1">
        <f t="array" ref="H5">'PA 9'!F7:F7</f>
        <v>0</v>
      </c>
      <c r="I5" s="558"/>
      <c r="J5" s="558"/>
      <c r="K5" s="558"/>
      <c r="M5" s="200" t="s">
        <v>221</v>
      </c>
      <c r="N5" s="396"/>
      <c r="O5" s="560" t="s">
        <v>222</v>
      </c>
      <c r="P5" s="560"/>
      <c r="Q5" s="560"/>
      <c r="R5" s="560"/>
    </row>
    <row r="6" spans="1:18" x14ac:dyDescent="0.3">
      <c r="A6" s="195"/>
      <c r="B6" s="194" t="s">
        <v>223</v>
      </c>
      <c r="C6" s="205"/>
      <c r="D6" s="194"/>
      <c r="E6" s="205"/>
      <c r="H6" s="194" t="s">
        <v>224</v>
      </c>
      <c r="M6" s="200"/>
      <c r="O6" s="560"/>
      <c r="P6" s="560"/>
      <c r="Q6" s="560"/>
      <c r="R6" s="560"/>
    </row>
    <row r="7" spans="1:18" ht="13.5" customHeight="1" x14ac:dyDescent="0.3">
      <c r="A7" s="195" t="s">
        <v>225</v>
      </c>
      <c r="B7" s="559">
        <f>'PA 9'!A21</f>
        <v>46387</v>
      </c>
      <c r="C7" s="559"/>
      <c r="E7" s="195" t="s">
        <v>226</v>
      </c>
      <c r="F7" s="397">
        <f>IF('PA 9'!$Q$37=0,0,IF('PA 9'!$C$14&lt;'PA 9'!$C$21,'PA 9'!$C$21,'PA 9'!$C$14))</f>
        <v>0</v>
      </c>
      <c r="G7" s="397"/>
      <c r="H7" s="1"/>
      <c r="I7" s="558">
        <f>IF('PA 9'!$Q$37=0,0,IF('PA 9'!$C$15&gt;0,'PA 9'!$C$15,B7))</f>
        <v>0</v>
      </c>
      <c r="J7" s="558"/>
      <c r="M7" s="200" t="s">
        <v>227</v>
      </c>
      <c r="N7" s="396"/>
      <c r="O7" s="560" t="s">
        <v>228</v>
      </c>
      <c r="P7" s="560"/>
      <c r="Q7" s="560"/>
      <c r="R7" s="560"/>
    </row>
    <row r="8" spans="1:18" x14ac:dyDescent="0.3">
      <c r="A8" s="195"/>
      <c r="B8" s="194" t="s">
        <v>229</v>
      </c>
      <c r="C8" s="194"/>
      <c r="D8" s="194"/>
      <c r="E8" s="194"/>
      <c r="F8" s="194" t="s">
        <v>230</v>
      </c>
      <c r="G8" s="194"/>
      <c r="H8" s="194"/>
      <c r="I8" s="194" t="s">
        <v>231</v>
      </c>
      <c r="M8" s="200"/>
      <c r="O8" s="560"/>
      <c r="P8" s="560"/>
      <c r="Q8" s="560"/>
      <c r="R8" s="560"/>
    </row>
    <row r="9" spans="1:18" x14ac:dyDescent="0.3">
      <c r="A9" s="195" t="s">
        <v>232</v>
      </c>
    </row>
    <row r="10" spans="1:18" x14ac:dyDescent="0.3">
      <c r="A10" s="195"/>
    </row>
    <row r="11" spans="1:18" x14ac:dyDescent="0.3">
      <c r="A11" s="195"/>
      <c r="L11" s="1" t="str">
        <f>CONCATENATE('PA 9'!C6:C6," ",'PA 9'!C7:C7)</f>
        <v xml:space="preserve"> </v>
      </c>
    </row>
    <row r="12" spans="1:18" x14ac:dyDescent="0.3">
      <c r="A12" s="195"/>
      <c r="L12" s="1">
        <f>'PA 9'!C8:C8</f>
        <v>0</v>
      </c>
    </row>
    <row r="13" spans="1:18" x14ac:dyDescent="0.3">
      <c r="A13" s="195"/>
      <c r="L13" s="1">
        <f>'PA 9'!C9:C9</f>
        <v>0</v>
      </c>
    </row>
    <row r="14" spans="1:18" x14ac:dyDescent="0.3">
      <c r="A14" s="195"/>
    </row>
    <row r="15" spans="1:18" x14ac:dyDescent="0.3">
      <c r="A15" s="195"/>
    </row>
    <row r="16" spans="1:18" x14ac:dyDescent="0.3">
      <c r="A16" s="195"/>
    </row>
    <row r="17" spans="1:18" x14ac:dyDescent="0.3">
      <c r="A17" s="195"/>
    </row>
    <row r="18" spans="1:18" ht="13.5" customHeight="1" x14ac:dyDescent="0.3">
      <c r="A18" s="195"/>
      <c r="R18" s="561" t="s">
        <v>233</v>
      </c>
    </row>
    <row r="19" spans="1:18" x14ac:dyDescent="0.3">
      <c r="A19" s="195">
        <v>1</v>
      </c>
      <c r="B19" s="189" t="s">
        <v>234</v>
      </c>
      <c r="C19" s="189"/>
      <c r="D19" s="189" t="s">
        <v>235</v>
      </c>
      <c r="E19" s="189"/>
      <c r="F19" s="189"/>
      <c r="G19" s="189"/>
      <c r="H19" s="189"/>
      <c r="I19" s="189"/>
      <c r="J19" s="193" t="s">
        <v>236</v>
      </c>
      <c r="K19" s="193"/>
      <c r="L19" s="189"/>
      <c r="M19" s="189"/>
      <c r="N19" s="189"/>
      <c r="Q19" s="213"/>
      <c r="R19" s="561"/>
    </row>
    <row r="20" spans="1:18" x14ac:dyDescent="0.3">
      <c r="A20" s="195"/>
      <c r="B20" s="189" t="s">
        <v>237</v>
      </c>
      <c r="C20" s="189"/>
      <c r="D20" s="189" t="s">
        <v>238</v>
      </c>
      <c r="E20" s="189"/>
      <c r="F20" s="189"/>
      <c r="G20" s="189"/>
      <c r="H20" s="189"/>
      <c r="I20" s="189"/>
      <c r="J20" s="193" t="s">
        <v>236</v>
      </c>
      <c r="K20" s="193"/>
      <c r="L20" s="189"/>
      <c r="M20" s="189"/>
      <c r="N20" s="189"/>
      <c r="Q20" s="213"/>
      <c r="R20" s="561"/>
    </row>
    <row r="21" spans="1:18" x14ac:dyDescent="0.3">
      <c r="A21" s="195"/>
      <c r="B21" s="201" t="s">
        <v>239</v>
      </c>
      <c r="C21" s="201"/>
      <c r="D21" s="201" t="s">
        <v>240</v>
      </c>
      <c r="E21" s="201"/>
      <c r="F21" s="201"/>
      <c r="G21" s="201"/>
      <c r="H21" s="201"/>
      <c r="I21" s="201"/>
      <c r="J21" s="202" t="s">
        <v>241</v>
      </c>
      <c r="K21" s="202"/>
      <c r="L21" s="201"/>
      <c r="M21" s="201"/>
      <c r="N21" s="201"/>
      <c r="O21" s="203"/>
      <c r="P21" s="203"/>
      <c r="R21" s="398">
        <f>'PA 9'!Q37-'PA 9'!Q31</f>
        <v>0</v>
      </c>
    </row>
    <row r="22" spans="1:18" ht="3" customHeight="1" x14ac:dyDescent="0.3">
      <c r="A22" s="195"/>
      <c r="B22" s="189"/>
      <c r="C22" s="189"/>
      <c r="D22" s="189"/>
      <c r="E22" s="189"/>
      <c r="F22" s="206"/>
      <c r="G22" s="206"/>
      <c r="H22" s="206"/>
      <c r="I22" s="206"/>
      <c r="J22" s="207"/>
      <c r="K22" s="207"/>
      <c r="L22" s="206"/>
      <c r="M22" s="206"/>
      <c r="N22" s="206"/>
      <c r="O22" s="208"/>
      <c r="P22" s="208"/>
      <c r="R22" s="215"/>
    </row>
    <row r="23" spans="1:18" x14ac:dyDescent="0.3">
      <c r="A23" s="195">
        <v>2</v>
      </c>
      <c r="B23" s="189" t="s">
        <v>242</v>
      </c>
      <c r="C23" s="189"/>
      <c r="D23" s="189"/>
      <c r="E23" s="189"/>
      <c r="F23" s="201" t="s">
        <v>303</v>
      </c>
      <c r="G23" s="201"/>
      <c r="H23" s="201"/>
      <c r="I23" s="203"/>
      <c r="J23" s="201"/>
      <c r="K23" s="201"/>
      <c r="L23" s="201"/>
      <c r="M23" s="201"/>
      <c r="N23" s="201"/>
      <c r="O23" s="203"/>
      <c r="P23" s="203"/>
      <c r="Q23" s="192" t="s">
        <v>244</v>
      </c>
      <c r="R23" s="399">
        <f>'PA 9'!Q31</f>
        <v>0</v>
      </c>
    </row>
    <row r="24" spans="1:18" ht="3" customHeight="1" x14ac:dyDescent="0.3">
      <c r="A24" s="195"/>
      <c r="B24" s="189"/>
      <c r="C24" s="189"/>
      <c r="D24" s="189"/>
      <c r="E24" s="189"/>
      <c r="F24" s="206"/>
      <c r="G24" s="206"/>
      <c r="H24" s="206"/>
      <c r="I24" s="208"/>
      <c r="J24" s="206"/>
      <c r="K24" s="206"/>
      <c r="L24" s="206"/>
      <c r="M24" s="206"/>
      <c r="N24" s="206"/>
      <c r="O24" s="208"/>
      <c r="P24" s="208"/>
      <c r="Q24" s="192"/>
      <c r="R24" s="215"/>
    </row>
    <row r="25" spans="1:18" x14ac:dyDescent="0.3">
      <c r="A25" s="195"/>
      <c r="B25" s="189" t="s">
        <v>245</v>
      </c>
      <c r="C25" s="189"/>
      <c r="D25" s="189"/>
      <c r="E25" s="189"/>
      <c r="F25" s="201" t="s">
        <v>304</v>
      </c>
      <c r="G25" s="201"/>
      <c r="H25" s="201"/>
      <c r="I25" s="201"/>
      <c r="J25" s="201"/>
      <c r="K25" s="201"/>
      <c r="L25" s="201"/>
      <c r="M25" s="201"/>
      <c r="N25" s="201"/>
      <c r="O25" s="203"/>
      <c r="P25" s="203"/>
      <c r="Q25" s="192" t="s">
        <v>244</v>
      </c>
      <c r="R25" s="399"/>
    </row>
    <row r="26" spans="1:18" ht="3" customHeight="1" x14ac:dyDescent="0.3">
      <c r="A26" s="195"/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Q26" s="192"/>
      <c r="R26" s="216"/>
    </row>
    <row r="27" spans="1:18" x14ac:dyDescent="0.3">
      <c r="A27" s="195"/>
      <c r="B27" s="189" t="s">
        <v>247</v>
      </c>
      <c r="C27" s="189"/>
      <c r="D27" s="189"/>
      <c r="E27" s="189"/>
      <c r="F27" s="189" t="s">
        <v>305</v>
      </c>
      <c r="G27" s="189"/>
      <c r="H27" s="189"/>
      <c r="I27" s="189"/>
      <c r="J27" s="553"/>
      <c r="K27" s="553"/>
      <c r="L27" s="553"/>
      <c r="M27" s="553"/>
      <c r="N27" s="553"/>
      <c r="O27" s="553"/>
      <c r="P27" s="553"/>
      <c r="Q27" s="192" t="s">
        <v>244</v>
      </c>
      <c r="R27" s="399"/>
    </row>
    <row r="28" spans="1:18" ht="9.75" customHeight="1" x14ac:dyDescent="0.3">
      <c r="A28" s="195"/>
      <c r="B28" s="189"/>
      <c r="C28" s="189"/>
      <c r="D28" s="189"/>
      <c r="E28" s="189"/>
      <c r="F28" s="191" t="s">
        <v>249</v>
      </c>
      <c r="G28" s="191"/>
      <c r="H28" s="191"/>
      <c r="I28" s="189"/>
      <c r="J28" s="189"/>
      <c r="K28" s="189"/>
      <c r="L28" s="189"/>
      <c r="M28" s="189"/>
      <c r="N28" s="189"/>
      <c r="R28" s="217"/>
    </row>
    <row r="29" spans="1:18" x14ac:dyDescent="0.3">
      <c r="A29" s="195">
        <v>3</v>
      </c>
      <c r="B29" s="189" t="s">
        <v>250</v>
      </c>
      <c r="C29" s="189"/>
      <c r="D29" s="189"/>
      <c r="E29" s="189"/>
      <c r="F29" s="189"/>
      <c r="G29" s="189"/>
      <c r="H29" s="189"/>
      <c r="I29" s="189"/>
      <c r="J29" s="189"/>
      <c r="K29" s="191" t="s">
        <v>249</v>
      </c>
      <c r="M29" s="189"/>
      <c r="N29" s="189"/>
      <c r="Q29" s="192" t="s">
        <v>244</v>
      </c>
      <c r="R29" s="217"/>
    </row>
    <row r="30" spans="1:18" x14ac:dyDescent="0.3">
      <c r="A30" s="195"/>
      <c r="B30" s="553"/>
      <c r="C30" s="553"/>
      <c r="D30" s="553"/>
      <c r="E30" s="553"/>
      <c r="F30" s="553"/>
      <c r="G30" s="553"/>
      <c r="H30" s="553"/>
      <c r="I30" s="553"/>
      <c r="J30" s="553"/>
      <c r="K30" s="553"/>
      <c r="L30" s="553"/>
      <c r="M30" s="553"/>
      <c r="N30" s="553"/>
      <c r="O30" s="553"/>
      <c r="P30" s="553"/>
      <c r="R30" s="399"/>
    </row>
    <row r="31" spans="1:18" ht="3" customHeight="1" x14ac:dyDescent="0.3">
      <c r="A31" s="195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R31" s="215"/>
    </row>
    <row r="32" spans="1:18" x14ac:dyDescent="0.3">
      <c r="A32" s="195">
        <v>4</v>
      </c>
      <c r="B32" s="189" t="s">
        <v>251</v>
      </c>
      <c r="C32" s="189"/>
      <c r="D32" s="189"/>
      <c r="E32" s="189"/>
      <c r="F32" s="189"/>
      <c r="G32" s="189"/>
      <c r="H32" s="189"/>
      <c r="I32" s="553"/>
      <c r="J32" s="553"/>
      <c r="K32" s="553"/>
      <c r="L32" s="553"/>
      <c r="M32" s="553"/>
      <c r="N32" s="553"/>
      <c r="O32" s="553"/>
      <c r="P32" s="553"/>
      <c r="Q32" s="192" t="s">
        <v>244</v>
      </c>
      <c r="R32" s="399"/>
    </row>
    <row r="33" spans="1:18" ht="9" customHeight="1" x14ac:dyDescent="0.3">
      <c r="A33" s="195"/>
      <c r="B33" s="191" t="s">
        <v>249</v>
      </c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R33" s="217"/>
    </row>
    <row r="34" spans="1:18" x14ac:dyDescent="0.3">
      <c r="A34" s="195">
        <v>5</v>
      </c>
      <c r="B34" s="201" t="s">
        <v>252</v>
      </c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3"/>
      <c r="P34" s="203"/>
      <c r="Q34" s="192" t="s">
        <v>244</v>
      </c>
      <c r="R34" s="399"/>
    </row>
    <row r="35" spans="1:18" ht="3" customHeight="1" x14ac:dyDescent="0.3">
      <c r="A35" s="195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Q35" s="192"/>
      <c r="R35" s="216"/>
    </row>
    <row r="36" spans="1:18" x14ac:dyDescent="0.3">
      <c r="A36" s="195">
        <v>6</v>
      </c>
      <c r="B36" s="201" t="s">
        <v>253</v>
      </c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3"/>
      <c r="P36" s="203"/>
      <c r="Q36" s="192" t="s">
        <v>244</v>
      </c>
      <c r="R36" s="399"/>
    </row>
    <row r="37" spans="1:18" ht="3" customHeight="1" x14ac:dyDescent="0.3">
      <c r="A37" s="195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Q37" s="192"/>
      <c r="R37" s="216"/>
    </row>
    <row r="38" spans="1:18" x14ac:dyDescent="0.3">
      <c r="A38" s="195">
        <v>7</v>
      </c>
      <c r="B38" s="189" t="s">
        <v>254</v>
      </c>
      <c r="C38" s="189"/>
      <c r="D38" s="189"/>
      <c r="E38" s="189"/>
      <c r="F38" s="189"/>
      <c r="G38" s="189"/>
      <c r="H38" s="189"/>
      <c r="I38" s="553"/>
      <c r="J38" s="553"/>
      <c r="K38" s="553"/>
      <c r="L38" s="553"/>
      <c r="M38" s="553"/>
      <c r="N38" s="553"/>
      <c r="O38" s="553"/>
      <c r="P38" s="553"/>
      <c r="Q38" s="192" t="s">
        <v>244</v>
      </c>
      <c r="R38" s="399"/>
    </row>
    <row r="39" spans="1:18" ht="9" customHeight="1" x14ac:dyDescent="0.3">
      <c r="A39" s="195"/>
      <c r="B39" s="191" t="s">
        <v>249</v>
      </c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R39" s="217"/>
    </row>
    <row r="40" spans="1:18" x14ac:dyDescent="0.3">
      <c r="A40" s="195">
        <v>8</v>
      </c>
      <c r="B40" s="201" t="s">
        <v>255</v>
      </c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3"/>
      <c r="P40" s="203"/>
      <c r="Q40" s="192" t="s">
        <v>256</v>
      </c>
      <c r="R40" s="399">
        <f>SUM(R21:R39)</f>
        <v>0</v>
      </c>
    </row>
    <row r="41" spans="1:18" ht="3" customHeight="1" x14ac:dyDescent="0.3">
      <c r="A41" s="195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Q41" s="192"/>
      <c r="R41" s="216"/>
    </row>
    <row r="42" spans="1:18" x14ac:dyDescent="0.3">
      <c r="A42" s="195">
        <v>9</v>
      </c>
      <c r="B42" s="201" t="s">
        <v>257</v>
      </c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3"/>
      <c r="P42" s="203"/>
      <c r="Q42" s="192" t="s">
        <v>44</v>
      </c>
      <c r="R42" s="399">
        <f>('PA 9'!Q40+'PA 9'!Q41+'PA 9'!Q42)*-1</f>
        <v>0</v>
      </c>
    </row>
    <row r="43" spans="1:18" ht="3" customHeight="1" x14ac:dyDescent="0.3">
      <c r="A43" s="195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Q43" s="192"/>
      <c r="R43" s="216"/>
    </row>
    <row r="44" spans="1:18" x14ac:dyDescent="0.3">
      <c r="A44" s="195">
        <v>10</v>
      </c>
      <c r="B44" s="189" t="s">
        <v>258</v>
      </c>
      <c r="C44" s="189"/>
      <c r="D44" s="189"/>
      <c r="E44" s="189" t="s">
        <v>259</v>
      </c>
      <c r="F44" s="189"/>
      <c r="G44" s="189"/>
      <c r="H44" s="201" t="s">
        <v>306</v>
      </c>
      <c r="I44" s="203"/>
      <c r="J44" s="201"/>
      <c r="K44" s="201"/>
      <c r="L44" s="201"/>
      <c r="M44" s="201"/>
      <c r="N44" s="201"/>
      <c r="O44" s="203"/>
      <c r="P44" s="203"/>
      <c r="Q44" s="192" t="s">
        <v>44</v>
      </c>
      <c r="R44" s="399">
        <f>'PA 9'!Q44*-1</f>
        <v>0</v>
      </c>
    </row>
    <row r="45" spans="1:18" x14ac:dyDescent="0.3">
      <c r="A45" s="195"/>
      <c r="B45" s="189" t="s">
        <v>261</v>
      </c>
      <c r="C45" s="189"/>
      <c r="D45" s="189"/>
      <c r="E45" s="189" t="s">
        <v>307</v>
      </c>
      <c r="F45" s="189"/>
      <c r="G45" s="189"/>
      <c r="H45" s="189"/>
      <c r="J45" s="189"/>
      <c r="K45" s="189"/>
      <c r="L45" s="189"/>
      <c r="M45" s="189"/>
      <c r="N45" s="189"/>
      <c r="R45" s="217"/>
    </row>
    <row r="46" spans="1:18" x14ac:dyDescent="0.3">
      <c r="A46" s="195"/>
      <c r="B46" s="189" t="s">
        <v>263</v>
      </c>
      <c r="C46" s="189"/>
      <c r="E46" s="189" t="s">
        <v>308</v>
      </c>
      <c r="H46" s="201" t="s">
        <v>309</v>
      </c>
      <c r="I46" s="203"/>
      <c r="J46" s="203"/>
      <c r="K46" s="203"/>
      <c r="L46" s="203"/>
      <c r="M46" s="203"/>
      <c r="N46" s="203"/>
      <c r="O46" s="203"/>
      <c r="P46" s="203"/>
      <c r="Q46" s="192" t="s">
        <v>44</v>
      </c>
      <c r="R46" s="399"/>
    </row>
    <row r="47" spans="1:18" ht="3" customHeight="1" x14ac:dyDescent="0.3">
      <c r="A47" s="195"/>
      <c r="B47" s="189"/>
      <c r="C47" s="189"/>
      <c r="E47" s="189"/>
      <c r="H47" s="189"/>
      <c r="Q47" s="192"/>
      <c r="R47" s="216"/>
    </row>
    <row r="48" spans="1:18" x14ac:dyDescent="0.3">
      <c r="A48" s="195">
        <v>11</v>
      </c>
      <c r="B48" s="204" t="s">
        <v>266</v>
      </c>
      <c r="C48" s="201"/>
      <c r="D48" s="203"/>
      <c r="E48" s="203"/>
      <c r="F48" s="203"/>
      <c r="G48" s="203"/>
      <c r="H48" s="203"/>
      <c r="I48" s="203"/>
      <c r="J48" s="203"/>
      <c r="K48" s="203"/>
      <c r="L48" s="203"/>
      <c r="M48" s="203"/>
      <c r="N48" s="203"/>
      <c r="O48" s="203"/>
      <c r="P48" s="203"/>
      <c r="Q48" s="192" t="s">
        <v>256</v>
      </c>
      <c r="R48" s="399">
        <f>R40-SUM(R42:R46)</f>
        <v>0</v>
      </c>
    </row>
    <row r="49" spans="1:18" ht="9" customHeight="1" x14ac:dyDescent="0.3">
      <c r="A49" s="195"/>
      <c r="B49" s="196" t="s">
        <v>267</v>
      </c>
      <c r="C49" s="189"/>
      <c r="R49" s="217"/>
    </row>
    <row r="50" spans="1:18" x14ac:dyDescent="0.3">
      <c r="A50" s="195">
        <v>12</v>
      </c>
      <c r="B50" s="201" t="s">
        <v>268</v>
      </c>
      <c r="C50" s="201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R50" s="400">
        <f>'PA 9'!Q46*-1</f>
        <v>0</v>
      </c>
    </row>
    <row r="51" spans="1:18" x14ac:dyDescent="0.3">
      <c r="A51" s="195">
        <v>13</v>
      </c>
      <c r="B51" s="189" t="s">
        <v>269</v>
      </c>
      <c r="C51" s="189"/>
      <c r="R51" s="218"/>
    </row>
    <row r="52" spans="1:18" ht="9" customHeight="1" x14ac:dyDescent="0.3">
      <c r="B52" s="191" t="s">
        <v>270</v>
      </c>
      <c r="R52" s="218"/>
    </row>
    <row r="53" spans="1:18" ht="13.5" customHeight="1" x14ac:dyDescent="0.3">
      <c r="A53" s="562">
        <v>13.1</v>
      </c>
      <c r="B53" s="562"/>
      <c r="C53" s="564" t="s">
        <v>271</v>
      </c>
      <c r="D53" s="197" t="s">
        <v>272</v>
      </c>
      <c r="E53" s="201" t="s">
        <v>273</v>
      </c>
      <c r="F53" s="201"/>
      <c r="G53" s="201"/>
      <c r="H53" s="201"/>
      <c r="I53" s="203"/>
      <c r="J53" s="203"/>
      <c r="K53" s="203"/>
      <c r="L53" s="203"/>
      <c r="M53" s="203"/>
      <c r="N53" s="203"/>
      <c r="O53" s="203"/>
      <c r="P53" s="395" t="s">
        <v>216</v>
      </c>
      <c r="R53" s="401"/>
    </row>
    <row r="54" spans="1:18" ht="3" customHeight="1" x14ac:dyDescent="0.3">
      <c r="A54" s="210"/>
      <c r="B54" s="210"/>
      <c r="C54" s="564"/>
      <c r="D54" s="197"/>
      <c r="E54" s="189"/>
      <c r="F54" s="189"/>
      <c r="G54" s="189"/>
      <c r="H54" s="189"/>
      <c r="R54" s="219"/>
    </row>
    <row r="55" spans="1:18" x14ac:dyDescent="0.3">
      <c r="A55" s="195"/>
      <c r="B55" s="195"/>
      <c r="C55" s="564"/>
      <c r="D55" s="198" t="s">
        <v>274</v>
      </c>
      <c r="E55" s="189" t="s">
        <v>275</v>
      </c>
      <c r="F55" s="189"/>
      <c r="G55" s="189"/>
      <c r="H55" s="189"/>
      <c r="I55" s="554"/>
      <c r="J55" s="554"/>
      <c r="K55" s="554"/>
      <c r="L55" s="554"/>
      <c r="M55" s="554"/>
      <c r="N55" s="554"/>
      <c r="O55" s="554"/>
      <c r="P55" s="554"/>
      <c r="R55" s="401"/>
    </row>
    <row r="56" spans="1:18" ht="9" customHeight="1" x14ac:dyDescent="0.3">
      <c r="A56" s="195"/>
      <c r="B56" s="195"/>
      <c r="C56" s="564"/>
      <c r="D56" s="199"/>
      <c r="E56" s="194" t="s">
        <v>249</v>
      </c>
      <c r="R56" s="218"/>
    </row>
    <row r="57" spans="1:18" x14ac:dyDescent="0.3">
      <c r="A57" s="563">
        <v>13.2</v>
      </c>
      <c r="B57" s="563"/>
      <c r="C57" s="189" t="s">
        <v>276</v>
      </c>
      <c r="D57" s="198" t="s">
        <v>277</v>
      </c>
      <c r="E57" s="201" t="s">
        <v>278</v>
      </c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R57" s="401"/>
    </row>
    <row r="58" spans="1:18" ht="3" customHeight="1" x14ac:dyDescent="0.3">
      <c r="A58" s="211"/>
      <c r="B58" s="211"/>
      <c r="C58" s="189"/>
      <c r="D58" s="198"/>
      <c r="E58" s="189"/>
      <c r="R58" s="220"/>
    </row>
    <row r="59" spans="1:18" x14ac:dyDescent="0.3">
      <c r="A59" s="195"/>
      <c r="B59" s="195"/>
      <c r="C59" s="189" t="s">
        <v>279</v>
      </c>
      <c r="D59" s="198" t="s">
        <v>280</v>
      </c>
      <c r="E59" s="201" t="s">
        <v>281</v>
      </c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R59" s="401"/>
    </row>
    <row r="60" spans="1:18" ht="3" customHeight="1" x14ac:dyDescent="0.3">
      <c r="A60" s="195"/>
      <c r="B60" s="195"/>
      <c r="C60" s="189"/>
      <c r="D60" s="198"/>
      <c r="E60" s="189"/>
      <c r="I60" s="208"/>
      <c r="J60" s="208"/>
      <c r="K60" s="208"/>
      <c r="L60" s="208"/>
      <c r="M60" s="208"/>
      <c r="N60" s="208"/>
      <c r="O60" s="208"/>
      <c r="P60" s="208"/>
      <c r="R60" s="220"/>
    </row>
    <row r="61" spans="1:18" x14ac:dyDescent="0.3">
      <c r="A61" s="195"/>
      <c r="B61" s="195"/>
      <c r="C61" s="189" t="s">
        <v>282</v>
      </c>
      <c r="D61" s="198" t="s">
        <v>283</v>
      </c>
      <c r="E61" s="189" t="s">
        <v>275</v>
      </c>
      <c r="I61" s="554"/>
      <c r="J61" s="554"/>
      <c r="K61" s="554"/>
      <c r="L61" s="554"/>
      <c r="M61" s="554"/>
      <c r="N61" s="554"/>
      <c r="O61" s="554"/>
      <c r="P61" s="554"/>
      <c r="R61" s="401"/>
    </row>
    <row r="62" spans="1:18" ht="9" customHeight="1" x14ac:dyDescent="0.3">
      <c r="B62" s="189"/>
      <c r="C62" s="189"/>
      <c r="E62" s="194" t="s">
        <v>249</v>
      </c>
      <c r="R62" s="218"/>
    </row>
    <row r="63" spans="1:18" x14ac:dyDescent="0.3">
      <c r="A63" s="562">
        <v>13.3</v>
      </c>
      <c r="B63" s="562"/>
      <c r="C63" s="201" t="s">
        <v>284</v>
      </c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R63" s="401"/>
    </row>
    <row r="64" spans="1:18" ht="3" customHeight="1" x14ac:dyDescent="0.3">
      <c r="A64" s="210"/>
      <c r="B64" s="210"/>
      <c r="C64" s="189"/>
    </row>
    <row r="65" spans="1:18" x14ac:dyDescent="0.3">
      <c r="A65" s="195">
        <v>14</v>
      </c>
      <c r="B65" s="189" t="s">
        <v>285</v>
      </c>
      <c r="C65" s="189"/>
      <c r="F65" s="189" t="s">
        <v>286</v>
      </c>
      <c r="G65" s="189"/>
      <c r="H65" s="189"/>
      <c r="I65" s="554"/>
      <c r="J65" s="554"/>
      <c r="K65" s="554"/>
      <c r="L65" s="554"/>
      <c r="M65" s="554"/>
      <c r="N65" s="554"/>
      <c r="O65" s="554"/>
      <c r="P65" s="554"/>
      <c r="Q65" s="554"/>
      <c r="R65" s="554"/>
    </row>
    <row r="66" spans="1:18" ht="3" customHeight="1" x14ac:dyDescent="0.3">
      <c r="A66" s="195"/>
      <c r="B66" s="189"/>
      <c r="C66" s="189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2"/>
      <c r="O66" s="212"/>
      <c r="P66" s="212"/>
      <c r="Q66" s="212"/>
      <c r="R66" s="212"/>
    </row>
    <row r="67" spans="1:18" x14ac:dyDescent="0.3">
      <c r="A67" s="195"/>
      <c r="B67" s="189" t="s">
        <v>287</v>
      </c>
      <c r="C67" s="189"/>
      <c r="F67" s="189" t="s">
        <v>288</v>
      </c>
      <c r="G67" s="189"/>
      <c r="H67" s="189"/>
      <c r="I67" s="554"/>
      <c r="J67" s="554"/>
      <c r="K67" s="554"/>
      <c r="L67" s="554"/>
      <c r="M67" s="554"/>
      <c r="N67" s="554"/>
      <c r="O67" s="554"/>
      <c r="P67" s="554"/>
      <c r="Q67" s="554"/>
      <c r="R67" s="554"/>
    </row>
    <row r="68" spans="1:18" ht="3" customHeight="1" x14ac:dyDescent="0.3">
      <c r="A68" s="195"/>
      <c r="B68" s="189"/>
      <c r="C68" s="189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12"/>
      <c r="Q68" s="212"/>
      <c r="R68" s="212"/>
    </row>
    <row r="69" spans="1:18" x14ac:dyDescent="0.3">
      <c r="A69" s="195"/>
      <c r="B69" s="189" t="s">
        <v>289</v>
      </c>
      <c r="C69" s="189"/>
      <c r="F69" s="189" t="s">
        <v>290</v>
      </c>
      <c r="G69" s="189"/>
      <c r="H69" s="189"/>
      <c r="I69" s="554"/>
      <c r="J69" s="554"/>
      <c r="K69" s="554"/>
      <c r="L69" s="554"/>
      <c r="M69" s="554"/>
      <c r="N69" s="554"/>
      <c r="O69" s="554"/>
      <c r="P69" s="554"/>
      <c r="Q69" s="554"/>
      <c r="R69" s="554"/>
    </row>
    <row r="70" spans="1:18" ht="3" customHeight="1" x14ac:dyDescent="0.3">
      <c r="A70" s="195"/>
      <c r="B70" s="189"/>
      <c r="C70" s="189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2"/>
      <c r="O70" s="212"/>
      <c r="P70" s="212"/>
      <c r="Q70" s="212"/>
      <c r="R70" s="212"/>
    </row>
    <row r="71" spans="1:18" x14ac:dyDescent="0.3">
      <c r="A71" s="195">
        <v>15</v>
      </c>
      <c r="B71" s="189" t="s">
        <v>291</v>
      </c>
      <c r="C71" s="189"/>
      <c r="D71" s="556" t="str">
        <f>IF('PA 9'!L7&lt;100%,"Taux d'occupation "&amp;('PA 9'!L7+'PA 9'!L12)*100&amp;"%","")</f>
        <v>Taux d'occupation 0%</v>
      </c>
      <c r="E71" s="556"/>
      <c r="F71" s="556"/>
      <c r="G71" s="556"/>
      <c r="H71" s="556"/>
      <c r="I71" s="556"/>
      <c r="J71" s="556"/>
      <c r="K71" s="556"/>
      <c r="L71" s="556"/>
      <c r="M71" s="556"/>
      <c r="N71" s="556"/>
      <c r="O71" s="556"/>
      <c r="P71" s="556"/>
      <c r="Q71" s="556"/>
      <c r="R71" s="556"/>
    </row>
    <row r="72" spans="1:18" ht="3" customHeight="1" x14ac:dyDescent="0.3">
      <c r="A72" s="195"/>
      <c r="B72" s="189"/>
      <c r="C72" s="189"/>
      <c r="D72" s="223"/>
      <c r="E72" s="223"/>
      <c r="F72" s="223"/>
      <c r="G72" s="223"/>
      <c r="H72" s="223"/>
      <c r="I72" s="223"/>
      <c r="J72" s="223"/>
      <c r="K72" s="223"/>
      <c r="L72" s="223"/>
      <c r="M72" s="223"/>
      <c r="N72" s="223"/>
      <c r="O72" s="223"/>
      <c r="P72" s="223"/>
      <c r="Q72" s="223"/>
      <c r="R72" s="223"/>
    </row>
    <row r="73" spans="1:18" x14ac:dyDescent="0.3">
      <c r="A73" s="195"/>
      <c r="B73" s="189" t="s">
        <v>292</v>
      </c>
      <c r="C73" s="189"/>
      <c r="D73" s="557"/>
      <c r="E73" s="557"/>
      <c r="F73" s="557"/>
      <c r="G73" s="557"/>
      <c r="H73" s="557"/>
      <c r="I73" s="557"/>
      <c r="J73" s="557"/>
      <c r="K73" s="557"/>
      <c r="L73" s="557"/>
      <c r="M73" s="557"/>
      <c r="N73" s="557"/>
      <c r="O73" s="557"/>
      <c r="P73" s="557"/>
      <c r="Q73" s="557"/>
      <c r="R73" s="557"/>
    </row>
    <row r="74" spans="1:18" ht="3" customHeight="1" x14ac:dyDescent="0.3">
      <c r="A74" s="195"/>
      <c r="B74" s="189"/>
      <c r="C74" s="189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</row>
    <row r="75" spans="1:18" x14ac:dyDescent="0.3">
      <c r="A75" s="195"/>
      <c r="B75" s="189" t="s">
        <v>293</v>
      </c>
      <c r="C75" s="189"/>
      <c r="D75" s="557"/>
      <c r="E75" s="557"/>
      <c r="F75" s="557"/>
      <c r="G75" s="557"/>
      <c r="H75" s="557"/>
      <c r="I75" s="557"/>
      <c r="J75" s="557"/>
      <c r="K75" s="557"/>
      <c r="L75" s="557"/>
      <c r="M75" s="557"/>
      <c r="N75" s="557"/>
      <c r="O75" s="557"/>
      <c r="P75" s="557"/>
      <c r="Q75" s="557"/>
      <c r="R75" s="557"/>
    </row>
    <row r="76" spans="1:18" x14ac:dyDescent="0.3">
      <c r="A76" s="195"/>
      <c r="B76" s="189"/>
      <c r="C76" s="189"/>
    </row>
    <row r="77" spans="1:18" x14ac:dyDescent="0.3">
      <c r="A77" s="195" t="s">
        <v>294</v>
      </c>
      <c r="B77" s="189" t="s">
        <v>295</v>
      </c>
      <c r="C77" s="189"/>
      <c r="F77" s="189" t="s">
        <v>296</v>
      </c>
      <c r="G77" s="189"/>
      <c r="M77" s="565">
        <f>'Attestation du salaire (ord.)'!A8:A8</f>
        <v>0</v>
      </c>
      <c r="N77" s="565"/>
      <c r="O77" s="565"/>
      <c r="P77" s="565"/>
      <c r="Q77" s="565"/>
      <c r="R77" s="565"/>
    </row>
    <row r="78" spans="1:18" ht="9" customHeight="1" x14ac:dyDescent="0.3">
      <c r="B78" s="189"/>
      <c r="C78" s="189"/>
      <c r="F78" s="191" t="s">
        <v>297</v>
      </c>
      <c r="G78" s="191"/>
      <c r="M78" s="221"/>
      <c r="N78" s="221"/>
      <c r="O78" s="221"/>
      <c r="P78" s="221"/>
      <c r="Q78" s="221"/>
      <c r="R78" s="221"/>
    </row>
    <row r="79" spans="1:18" x14ac:dyDescent="0.3">
      <c r="B79" s="555"/>
      <c r="C79" s="555"/>
      <c r="D79" s="555"/>
      <c r="F79" s="189" t="s">
        <v>298</v>
      </c>
      <c r="G79" s="189"/>
      <c r="M79" s="498">
        <f>'Attestation du salaire (ord.)'!A9:A9</f>
        <v>0</v>
      </c>
      <c r="N79" s="498"/>
      <c r="O79" s="498"/>
      <c r="P79" s="498"/>
      <c r="Q79" s="498"/>
      <c r="R79" s="498"/>
    </row>
    <row r="80" spans="1:18" ht="9" customHeight="1" x14ac:dyDescent="0.3">
      <c r="B80" s="189"/>
      <c r="C80" s="189"/>
      <c r="F80" s="191" t="s">
        <v>299</v>
      </c>
      <c r="G80" s="191"/>
      <c r="M80" s="221"/>
      <c r="N80" s="221"/>
      <c r="O80" s="221"/>
      <c r="P80" s="221"/>
      <c r="Q80" s="221"/>
      <c r="R80" s="221"/>
    </row>
    <row r="81" spans="2:18" ht="13.5" customHeight="1" x14ac:dyDescent="0.3">
      <c r="B81" s="189"/>
      <c r="C81" s="189"/>
      <c r="F81" s="189" t="s">
        <v>300</v>
      </c>
      <c r="G81" s="189"/>
      <c r="M81" s="565">
        <f>'Attestation du salaire (ord.)'!A10:A10</f>
        <v>0</v>
      </c>
      <c r="N81" s="565"/>
      <c r="O81" s="565"/>
      <c r="P81" s="565"/>
      <c r="Q81" s="565"/>
      <c r="R81" s="565"/>
    </row>
    <row r="82" spans="2:18" ht="9" customHeight="1" x14ac:dyDescent="0.3">
      <c r="B82" s="189"/>
      <c r="C82" s="189"/>
      <c r="F82" s="191" t="s">
        <v>301</v>
      </c>
      <c r="G82" s="191"/>
      <c r="M82" s="222"/>
      <c r="N82" s="222"/>
      <c r="O82" s="222"/>
      <c r="P82" s="222"/>
      <c r="Q82" s="222"/>
      <c r="R82" s="222"/>
    </row>
    <row r="83" spans="2:18" x14ac:dyDescent="0.3">
      <c r="B83" s="189"/>
      <c r="C83" s="189"/>
      <c r="I83" s="189"/>
      <c r="M83" s="565" t="str">
        <f>'CS 1'!M83:R83</f>
        <v>Entrez le numéro de téléphone ici</v>
      </c>
      <c r="N83" s="565"/>
      <c r="O83" s="565"/>
      <c r="P83" s="565"/>
      <c r="Q83" s="565"/>
      <c r="R83" s="565"/>
    </row>
    <row r="84" spans="2:18" x14ac:dyDescent="0.3">
      <c r="B84" s="189"/>
      <c r="C84" s="189"/>
    </row>
  </sheetData>
  <sheetProtection algorithmName="SHA-512" hashValue="eLFRcu5lCHVdQ3iopqBIHF3cQU5HxBAn1JSdjUIfuFXeW0Zrc6pMTNgB5Iy2e3wKqT0he6tL5t1e7MpE+lOVWw==" saltValue="OLQ5d+HCCOkJ0N3aPqvphg==" spinCount="100000" sheet="1" objects="1" scenarios="1"/>
  <mergeCells count="28">
    <mergeCell ref="O5:R6"/>
    <mergeCell ref="B7:C7"/>
    <mergeCell ref="I7:J7"/>
    <mergeCell ref="O7:R8"/>
    <mergeCell ref="H5:K5"/>
    <mergeCell ref="B5:F5"/>
    <mergeCell ref="I69:R69"/>
    <mergeCell ref="R18:R20"/>
    <mergeCell ref="J27:P27"/>
    <mergeCell ref="B30:P30"/>
    <mergeCell ref="I32:P32"/>
    <mergeCell ref="I38:P38"/>
    <mergeCell ref="A53:B53"/>
    <mergeCell ref="C53:C56"/>
    <mergeCell ref="I55:P55"/>
    <mergeCell ref="A57:B57"/>
    <mergeCell ref="I61:P61"/>
    <mergeCell ref="A63:B63"/>
    <mergeCell ref="I65:R65"/>
    <mergeCell ref="I67:R67"/>
    <mergeCell ref="M83:R83"/>
    <mergeCell ref="D71:R71"/>
    <mergeCell ref="D73:R73"/>
    <mergeCell ref="D75:R75"/>
    <mergeCell ref="M77:R77"/>
    <mergeCell ref="M79:R79"/>
    <mergeCell ref="M81:R81"/>
    <mergeCell ref="B79:D79"/>
  </mergeCells>
  <pageMargins left="0.39370078740157483" right="7.874015748031496E-2" top="0.39370078740157483" bottom="0.39370078740157483" header="0.31496062992125984" footer="0.31496062992125984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BD"/>
    <pageSetUpPr fitToPage="1"/>
  </sheetPr>
  <dimension ref="A1:AK83"/>
  <sheetViews>
    <sheetView showGridLines="0" showZeros="0" tabSelected="1" zoomScaleNormal="100" workbookViewId="0">
      <selection activeCell="C6" sqref="C6:D6"/>
    </sheetView>
  </sheetViews>
  <sheetFormatPr baseColWidth="10" defaultColWidth="11.453125" defaultRowHeight="12.5" x14ac:dyDescent="0.25"/>
  <cols>
    <col min="1" max="1" width="22.453125" style="1" customWidth="1"/>
    <col min="2" max="2" width="4.54296875" style="1" bestFit="1" customWidth="1"/>
    <col min="3" max="4" width="13.7265625" style="1" customWidth="1"/>
    <col min="5" max="5" width="15.81640625" style="1" customWidth="1"/>
    <col min="6" max="8" width="13.7265625" style="1" customWidth="1"/>
    <col min="9" max="9" width="22.26953125" style="1" customWidth="1"/>
    <col min="10" max="10" width="4.54296875" style="1" bestFit="1" customWidth="1"/>
    <col min="11" max="16" width="12.26953125" style="1" customWidth="1"/>
    <col min="17" max="17" width="14.26953125" style="1" bestFit="1" customWidth="1"/>
    <col min="18" max="18" width="5" style="1" customWidth="1"/>
    <col min="19" max="19" width="29" style="1" customWidth="1"/>
    <col min="20" max="20" width="21" style="1" customWidth="1"/>
    <col min="21" max="21" width="15.7265625" style="1" customWidth="1"/>
    <col min="22" max="22" width="6.81640625" style="1" bestFit="1" customWidth="1"/>
    <col min="23" max="23" width="8.7265625" style="1" hidden="1" customWidth="1"/>
    <col min="24" max="24" width="12.453125" style="68" hidden="1" customWidth="1"/>
    <col min="25" max="25" width="21.453125" style="68" hidden="1" customWidth="1"/>
    <col min="26" max="26" width="22.1796875" style="68" hidden="1" customWidth="1"/>
    <col min="27" max="27" width="23.1796875" style="68" hidden="1" customWidth="1"/>
    <col min="28" max="28" width="16.54296875" style="68" hidden="1" customWidth="1"/>
    <col min="29" max="29" width="14.1796875" style="68" hidden="1" customWidth="1"/>
    <col min="30" max="30" width="11.81640625" style="68" hidden="1" customWidth="1"/>
    <col min="31" max="31" width="15.26953125" style="68" hidden="1" customWidth="1"/>
    <col min="32" max="32" width="15.54296875" style="1" hidden="1" customWidth="1"/>
    <col min="33" max="33" width="15.26953125" style="1" hidden="1" customWidth="1"/>
    <col min="34" max="34" width="6.81640625" style="1" hidden="1" customWidth="1"/>
    <col min="35" max="36" width="15.26953125" style="1" hidden="1" customWidth="1"/>
    <col min="37" max="37" width="15.26953125" style="1" customWidth="1"/>
    <col min="38" max="16384" width="11.453125" style="1"/>
  </cols>
  <sheetData>
    <row r="1" spans="1:35" ht="12.75" customHeight="1" x14ac:dyDescent="0.25">
      <c r="A1" s="474" t="s">
        <v>54</v>
      </c>
      <c r="B1" s="474"/>
      <c r="C1" s="474"/>
      <c r="D1" s="473" t="str">
        <f>"Programme de salaire "&amp;Grundlagen!$D$1</f>
        <v>Programme de salaire 2026</v>
      </c>
      <c r="E1" s="473"/>
      <c r="F1" s="473"/>
      <c r="G1" s="460" t="str">
        <f>IF($W45&gt;4,"Attention erreur!",IF($W$45&gt;0,"Attention remarque!",""))</f>
        <v/>
      </c>
      <c r="H1" s="460"/>
      <c r="I1" s="475" t="str">
        <f>A1</f>
        <v>Nom/Prénom employeur</v>
      </c>
      <c r="J1" s="475"/>
      <c r="K1" s="475"/>
      <c r="L1" s="473" t="str">
        <f>D1</f>
        <v>Programme de salaire 2026</v>
      </c>
      <c r="M1" s="473"/>
      <c r="N1" s="473"/>
      <c r="P1" s="460" t="str">
        <f>IF($W45&gt;4,"Attention erreur!",IF($W$45&gt;0,"Attention remarque!",""))</f>
        <v/>
      </c>
      <c r="Q1" s="460"/>
      <c r="S1" s="250" t="s">
        <v>55</v>
      </c>
      <c r="T1" s="264"/>
      <c r="U1" s="441" t="s">
        <v>56</v>
      </c>
      <c r="V1" s="442" t="s">
        <v>57</v>
      </c>
      <c r="W1" s="425"/>
      <c r="AE1" s="1"/>
    </row>
    <row r="2" spans="1:35" ht="12.75" customHeight="1" x14ac:dyDescent="0.25">
      <c r="A2" s="474" t="s">
        <v>58</v>
      </c>
      <c r="B2" s="474"/>
      <c r="C2" s="474"/>
      <c r="D2" s="473"/>
      <c r="E2" s="473"/>
      <c r="F2" s="473"/>
      <c r="G2" s="460"/>
      <c r="H2" s="460"/>
      <c r="I2" s="475" t="str">
        <f>A2</f>
        <v>Lieu employeur</v>
      </c>
      <c r="J2" s="475"/>
      <c r="K2" s="475"/>
      <c r="L2" s="473"/>
      <c r="M2" s="473"/>
      <c r="N2" s="473"/>
      <c r="P2" s="460"/>
      <c r="Q2" s="460"/>
      <c r="S2" s="253" t="s">
        <v>59</v>
      </c>
      <c r="T2" s="2"/>
      <c r="U2" s="225">
        <f>IF(C16="Salaire horaire",(M8*M7*52)+(M13*M12*52),(M8+Y13)*12)</f>
        <v>0</v>
      </c>
      <c r="V2" s="265"/>
      <c r="W2" s="425"/>
      <c r="Y2" s="478" t="s">
        <v>60</v>
      </c>
      <c r="AA2" s="478" t="str">
        <f>"Jahreslohn gesamt &gt; CHF "&amp;Grundlagen!$B$9</f>
        <v>Jahreslohn gesamt &gt; CHF 58800</v>
      </c>
      <c r="AE2" s="1"/>
    </row>
    <row r="3" spans="1:35" ht="5.15" customHeight="1" x14ac:dyDescent="0.25">
      <c r="G3" s="460"/>
      <c r="H3" s="460"/>
      <c r="P3" s="460"/>
      <c r="Q3" s="460"/>
      <c r="S3" s="258"/>
      <c r="V3" s="254"/>
      <c r="W3" s="425"/>
      <c r="Y3" s="478"/>
      <c r="AA3" s="478"/>
      <c r="AE3" s="1"/>
    </row>
    <row r="4" spans="1:35" ht="15" customHeight="1" thickBot="1" x14ac:dyDescent="0.35">
      <c r="A4" s="41" t="s">
        <v>61</v>
      </c>
      <c r="B4" s="41"/>
      <c r="C4" s="41"/>
      <c r="D4" s="41"/>
      <c r="E4" s="42"/>
      <c r="F4" s="42"/>
      <c r="G4" s="42"/>
      <c r="H4" s="51" t="str">
        <f>CONCATENATE($C$6," ",$C$7)</f>
        <v xml:space="preserve"> </v>
      </c>
      <c r="I4" s="440" t="s">
        <v>62</v>
      </c>
      <c r="J4" s="440"/>
      <c r="K4" s="440"/>
      <c r="L4" s="440"/>
      <c r="M4" s="42"/>
      <c r="N4" s="42"/>
      <c r="O4" s="42"/>
      <c r="P4" s="42"/>
      <c r="Q4" s="51" t="str">
        <f>CONCATENATE($C$6," ",$C$7)</f>
        <v xml:space="preserve"> </v>
      </c>
      <c r="S4" s="467" t="s">
        <v>63</v>
      </c>
      <c r="T4" s="468"/>
      <c r="U4" s="266">
        <f>((U2-(U2*SUM(T8:T14,T16,Y9)+(12*T15)))*Z14)</f>
        <v>0</v>
      </c>
      <c r="V4" s="267">
        <f>U4/365</f>
        <v>0</v>
      </c>
      <c r="W4" s="425"/>
      <c r="X4" s="476" t="s">
        <v>64</v>
      </c>
      <c r="Y4" s="478"/>
      <c r="Z4" s="476" t="s">
        <v>65</v>
      </c>
      <c r="AA4" s="478"/>
      <c r="AB4" s="479" t="s">
        <v>66</v>
      </c>
      <c r="AC4" s="480" t="s">
        <v>67</v>
      </c>
      <c r="AD4" s="477" t="s">
        <v>68</v>
      </c>
      <c r="AE4" s="1"/>
      <c r="AH4" s="476" t="s">
        <v>69</v>
      </c>
      <c r="AI4" s="476"/>
    </row>
    <row r="5" spans="1:35" ht="5.15" customHeight="1" x14ac:dyDescent="0.25">
      <c r="X5" s="476"/>
      <c r="Y5" s="478"/>
      <c r="Z5" s="476"/>
      <c r="AA5" s="478"/>
      <c r="AB5" s="479"/>
      <c r="AC5" s="480"/>
      <c r="AD5" s="477"/>
      <c r="AE5" s="2"/>
      <c r="AF5" s="4"/>
      <c r="AG5" s="48"/>
      <c r="AH5" s="476"/>
      <c r="AI5" s="476"/>
    </row>
    <row r="6" spans="1:35" s="2" customFormat="1" ht="13.5" thickBot="1" x14ac:dyDescent="0.35">
      <c r="A6" s="2" t="s">
        <v>70</v>
      </c>
      <c r="C6" s="466"/>
      <c r="D6" s="466"/>
      <c r="E6" s="2" t="s">
        <v>71</v>
      </c>
      <c r="F6" s="461"/>
      <c r="G6" s="466"/>
      <c r="I6" s="6" t="s">
        <v>72</v>
      </c>
      <c r="N6" s="6" t="str">
        <f>IF(AND(C16="Salaire horaire",G11="oui"),"Calcul de l'indemnité les heures de garde","")</f>
        <v/>
      </c>
      <c r="W6" s="426"/>
      <c r="X6" s="2" t="s">
        <v>73</v>
      </c>
      <c r="Y6" s="2" t="s">
        <v>73</v>
      </c>
      <c r="Z6" s="2" t="str">
        <f>IF(OR(G13="simplifiée",G13="à choisir"),"simplifiée","")</f>
        <v>simplifiée</v>
      </c>
      <c r="AA6" s="59" t="str">
        <f>IF('Attestation du salaire (simpl.)'!H43&lt;Grundlagen!$B$9,"non","oui")</f>
        <v>non</v>
      </c>
      <c r="AB6" s="232" t="s">
        <v>73</v>
      </c>
      <c r="AC6" s="59" t="str">
        <f>IF(OR(F9="Parents",F9="Enfant", F9="Grands-parents", F9="Petit-fils/fille", F9="Conjoint-e", F9="Partenariat enrégistré", F9="Concubin-e"),"oui","non")</f>
        <v>non</v>
      </c>
      <c r="AD6" s="59" t="e">
        <f>IF(C16="Salaire horaire",IF(OR(M8&lt;21.6,M8&gt;21.6),"non",IF(M13="","oui",IF(OR(M13&lt;21.6,M13&gt;21.6),"non","oui"))),IF(C17="non",IF(AD9=3930,"oui","non"),IF(AD10=3630,"oui","non")))</f>
        <v>#DIV/0!</v>
      </c>
      <c r="AF6" s="5" t="s">
        <v>74</v>
      </c>
      <c r="AG6" s="49"/>
      <c r="AH6" s="2" t="s">
        <v>73</v>
      </c>
    </row>
    <row r="7" spans="1:35" s="2" customFormat="1" ht="13" x14ac:dyDescent="0.3">
      <c r="A7" s="2" t="s">
        <v>75</v>
      </c>
      <c r="C7" s="466"/>
      <c r="D7" s="466"/>
      <c r="E7" s="2" t="s">
        <v>76</v>
      </c>
      <c r="F7" s="461"/>
      <c r="G7" s="461"/>
      <c r="I7" s="2" t="str">
        <f>IF(C16="Salaire horaire",IF(G10="oui","Taux d'occupation I","Taux d'occupation"),IF(C16="Salaire mensuel","Taux d'occupation",""))</f>
        <v/>
      </c>
      <c r="L7" s="380"/>
      <c r="M7" s="443">
        <f>42*L7</f>
        <v>0</v>
      </c>
      <c r="N7" s="2" t="str">
        <f>IF(AND(C16="Salaire horaire",G11="oui"),"1 heure de garde =","")</f>
        <v/>
      </c>
      <c r="P7" s="308"/>
      <c r="Q7" s="2" t="str">
        <f>IF(AND(C16="Salaire horaire",G11="oui"),"du Sal.horaire","")</f>
        <v/>
      </c>
      <c r="S7" s="250" t="s">
        <v>77</v>
      </c>
      <c r="T7" s="251" t="s">
        <v>78</v>
      </c>
      <c r="U7" s="252"/>
      <c r="W7" s="1"/>
      <c r="X7" s="2" t="s">
        <v>79</v>
      </c>
      <c r="Y7" s="2" t="s">
        <v>80</v>
      </c>
      <c r="Z7" s="59" t="str">
        <f>IF(OR(G13="ordinaire",G13="à choisir"),"ordinaire","")</f>
        <v>ordinaire</v>
      </c>
      <c r="AA7" s="59"/>
      <c r="AB7" s="59" t="s">
        <v>81</v>
      </c>
      <c r="AD7" s="59" t="e">
        <f>IF(C16="Salaire horaire",IF(OR(M8&lt;21.6,M8&gt;56.5),"non",IF(M13="","oui",IF(OR(M13&lt;21.6,M13&gt;56.5),"non","oui"))),IF(C17="non",IF(AD9&lt;3930,"non","oui"),IF(AD10&lt;3630,"non","oui")))</f>
        <v>#DIV/0!</v>
      </c>
      <c r="AF7" s="5" t="s">
        <v>82</v>
      </c>
      <c r="AG7" s="49">
        <v>0</v>
      </c>
      <c r="AH7" s="2" t="s">
        <v>83</v>
      </c>
    </row>
    <row r="8" spans="1:35" s="2" customFormat="1" ht="12" customHeight="1" x14ac:dyDescent="0.3">
      <c r="A8" s="2" t="s">
        <v>84</v>
      </c>
      <c r="C8" s="466"/>
      <c r="D8" s="466"/>
      <c r="E8" s="2" t="s">
        <v>85</v>
      </c>
      <c r="F8" s="466"/>
      <c r="G8" s="466"/>
      <c r="I8" s="5" t="str">
        <f>IF(AND($C$16="Salaire horaire",OR(H10="à choisir",G10="non")),"Salaire horaire (avec suppl. vacances)",IF(AND($C$16="Salaire horaire",$G$10="oui"),"Salaire horaire I (avec suppl. vacances)",IF(C16="Salaire mensuel","Salaire mensuel","")))</f>
        <v/>
      </c>
      <c r="L8" s="4">
        <v>0</v>
      </c>
      <c r="M8" s="249"/>
      <c r="S8" s="253" t="s">
        <v>86</v>
      </c>
      <c r="T8" s="255">
        <f>IF(F7="",0,IF(DATEDIF($F$7,$A$21,"Y")&lt;18,0,Grundlagen!$B$5))</f>
        <v>0</v>
      </c>
      <c r="U8" s="254"/>
      <c r="W8" s="427"/>
      <c r="X8" s="2" t="s">
        <v>87</v>
      </c>
      <c r="Y8" s="59" t="s">
        <v>88</v>
      </c>
      <c r="Z8" s="59"/>
      <c r="AB8" s="59" t="s">
        <v>89</v>
      </c>
      <c r="AD8" s="2" t="e">
        <f>IF(C16="Salaire horaire",IF(OR(M8&lt;21.6,M8&gt;56.5,M13&lt;21.6,M13&gt;56.5),"non","oui"),IF(C17="non",IF(AD9&lt;10290.1,"non","oui"),IF(AD10&lt;9500.1,"non","oui")))</f>
        <v>#DIV/0!</v>
      </c>
      <c r="AF8" s="5"/>
      <c r="AG8" s="49"/>
      <c r="AH8" s="2" t="s">
        <v>90</v>
      </c>
    </row>
    <row r="9" spans="1:35" s="2" customFormat="1" ht="13" x14ac:dyDescent="0.3">
      <c r="A9" s="2" t="s">
        <v>91</v>
      </c>
      <c r="C9" s="466"/>
      <c r="D9" s="466"/>
      <c r="E9" s="2" t="s">
        <v>92</v>
      </c>
      <c r="F9" s="469" t="s">
        <v>73</v>
      </c>
      <c r="G9" s="469"/>
      <c r="I9" s="4" t="str">
        <f>IF($C$16="Salaire horaire","Suppl. vacances","")</f>
        <v/>
      </c>
      <c r="K9" s="4" t="str">
        <f>IF($C$16="Salaire horaire",(IF(L9=8.33%,"4 semaines","5 semaines")),"")</f>
        <v/>
      </c>
      <c r="L9" s="48" t="str">
        <f>IF($C$16="Salaire horaire",(IF(OR((DATEDIF($F$7,$C$21,"Y")&lt;20),(DATEDIF($F$7,$C$21,"Y")&gt;49)),10.64%,8.33%)),"")</f>
        <v/>
      </c>
      <c r="M9" s="247" t="str">
        <f>IF($C$16="Salaire horaire",M8/(1+L9)*L9,"")</f>
        <v/>
      </c>
      <c r="N9" s="6" t="str">
        <f>IF(C16="Salaire horaire","Conversion des engagements de nuit en heures","")</f>
        <v/>
      </c>
      <c r="S9" s="253" t="s">
        <v>93</v>
      </c>
      <c r="T9" s="255">
        <f>IF(F7="",0,IF(DATEDIF($F$7,$A$21,"Y")&lt;18,0,IF($C$67="oui",0,Grundlagen!$B$6)))</f>
        <v>0</v>
      </c>
      <c r="U9" s="256"/>
      <c r="W9" s="428"/>
      <c r="Y9" s="75">
        <f>IF(G13="à choisir",0,IF(AND(Z6="simplifiée",'PA 2'!Z6="simplifiée",'PA 3'!Z6="simplifiée",'PA 4'!Z6="simplifiée",'PA 5'!Z6="simplifiée",'PA 6'!Z6="simplifiée",'PA 7'!Z6="simplifiée",'PA 8'!Z6="simplifiée",'PA 9'!Z6="simplifiée"),IF(DATEDIF($F$7,D21,"Y")&lt;17,0%,5%),0%))</f>
        <v>0</v>
      </c>
      <c r="Z9" s="59"/>
      <c r="AB9" s="59" t="s">
        <v>94</v>
      </c>
      <c r="AD9" s="59" t="e">
        <f>ROUND(M8/L7,0)</f>
        <v>#DIV/0!</v>
      </c>
      <c r="AF9" s="5"/>
      <c r="AG9" s="49"/>
    </row>
    <row r="10" spans="1:35" s="2" customFormat="1" ht="13" x14ac:dyDescent="0.3">
      <c r="A10" s="2" t="s">
        <v>95</v>
      </c>
      <c r="C10" s="378" t="s">
        <v>73</v>
      </c>
      <c r="E10" s="2" t="str">
        <f>IF(C16="Salaire horaire","Avez-vous 2 différents sal. horaire?","")</f>
        <v/>
      </c>
      <c r="G10" s="391"/>
      <c r="H10" s="176" t="str">
        <f>IF(G10&gt;1,"",IF(C16="Salaire horaire","à choisir",""))</f>
        <v/>
      </c>
      <c r="I10" s="5" t="str">
        <f>IF(AND($C$16="Salaire horaire",OR(H10="à choisir",G10="non")),"Salaire horaire (sans Suppl. vacances)",IF(AND($C$16="Salaire horaire",$G$10="oui"),"Salaire horaire I (sans Suppl. vacances)",""))</f>
        <v/>
      </c>
      <c r="M10" s="248" t="str">
        <f>IF($C$16="Salaire horaire",M8-M9,"")</f>
        <v/>
      </c>
      <c r="N10" s="2" t="str">
        <f>IF(C16="Salaire horaire","1 nuit correspond à","")</f>
        <v/>
      </c>
      <c r="P10" s="268"/>
      <c r="Q10" s="2" t="str">
        <f>IF(C16="Salaire horaire","heures","")</f>
        <v/>
      </c>
      <c r="S10" s="253"/>
      <c r="T10" s="255"/>
      <c r="U10" s="256"/>
      <c r="W10" s="1"/>
      <c r="X10" s="6" t="s">
        <v>96</v>
      </c>
      <c r="Y10" s="6" t="s">
        <v>97</v>
      </c>
      <c r="Z10" s="64" t="s">
        <v>98</v>
      </c>
      <c r="AB10" s="59" t="s">
        <v>99</v>
      </c>
      <c r="AD10" s="59" t="e">
        <f>ROUND(M8/L7,0)</f>
        <v>#DIV/0!</v>
      </c>
    </row>
    <row r="11" spans="1:35" s="2" customFormat="1" ht="13.5" customHeight="1" x14ac:dyDescent="0.3">
      <c r="A11" s="2" t="s">
        <v>100</v>
      </c>
      <c r="C11" s="378"/>
      <c r="E11" s="2" t="s">
        <v>101</v>
      </c>
      <c r="G11" s="381" t="s">
        <v>73</v>
      </c>
      <c r="S11" s="253" t="s">
        <v>102</v>
      </c>
      <c r="T11" s="387"/>
      <c r="U11" s="257" t="s">
        <v>103</v>
      </c>
      <c r="W11" s="1"/>
      <c r="X11" s="2" t="s">
        <v>73</v>
      </c>
      <c r="Y11" s="2" t="str">
        <f>IF(C16="Salaire mensuel","oui","")</f>
        <v/>
      </c>
      <c r="Z11" s="188">
        <f>IF(G13="simplifiée",126.8%,0)</f>
        <v>0</v>
      </c>
      <c r="AB11" s="59" t="s">
        <v>104</v>
      </c>
      <c r="AD11" s="59"/>
    </row>
    <row r="12" spans="1:35" s="2" customFormat="1" ht="13.5" customHeight="1" x14ac:dyDescent="0.3">
      <c r="A12" s="2" t="s">
        <v>105</v>
      </c>
      <c r="C12" s="378"/>
      <c r="E12" s="2" t="s">
        <v>106</v>
      </c>
      <c r="G12" s="381" t="s">
        <v>73</v>
      </c>
      <c r="I12" s="2" t="str">
        <f>IF(G10="oui","Taux d'occupation II","")</f>
        <v/>
      </c>
      <c r="L12" s="224"/>
      <c r="M12" s="246">
        <f>42*L12</f>
        <v>0</v>
      </c>
      <c r="S12" s="253"/>
      <c r="T12" s="1"/>
      <c r="U12" s="254"/>
      <c r="W12" s="1"/>
      <c r="X12" s="2" t="s">
        <v>107</v>
      </c>
      <c r="Y12" s="2" t="str">
        <f>IF(C16="Salaire mensuel","non","")</f>
        <v/>
      </c>
      <c r="Z12" s="188">
        <f>IF(AND(G13="ordinaire",T15=0,T16=0),119.9%,0)</f>
        <v>0</v>
      </c>
      <c r="AA12" s="59"/>
      <c r="AB12" s="59" t="s">
        <v>108</v>
      </c>
      <c r="AC12" s="64" t="s">
        <v>109</v>
      </c>
      <c r="AD12" s="59"/>
    </row>
    <row r="13" spans="1:35" s="2" customFormat="1" ht="12.75" customHeight="1" x14ac:dyDescent="0.3">
      <c r="A13" s="2" t="s">
        <v>110</v>
      </c>
      <c r="C13" s="378"/>
      <c r="E13" s="2" t="s">
        <v>111</v>
      </c>
      <c r="G13" s="381" t="s">
        <v>73</v>
      </c>
      <c r="I13" s="5" t="str">
        <f>IF(G10="oui","Salaire horaire II (avec Suppl. vacances)","")</f>
        <v/>
      </c>
      <c r="L13" s="4"/>
      <c r="M13" s="249"/>
      <c r="S13" s="253" t="s">
        <v>112</v>
      </c>
      <c r="T13" s="388"/>
      <c r="U13" s="257" t="s">
        <v>103</v>
      </c>
      <c r="W13" s="425"/>
      <c r="X13" s="2" t="s">
        <v>113</v>
      </c>
      <c r="Y13" s="2">
        <f>IF(C17="oui",M8/12,0)</f>
        <v>0</v>
      </c>
      <c r="Z13" s="188">
        <f>IF(OR(T15&gt;0,T16&gt;0),129.2%,0)</f>
        <v>0</v>
      </c>
      <c r="AA13" s="59"/>
      <c r="AB13" s="59" t="s">
        <v>114</v>
      </c>
      <c r="AC13" s="59" t="s">
        <v>83</v>
      </c>
      <c r="AD13" s="59"/>
    </row>
    <row r="14" spans="1:35" s="2" customFormat="1" ht="12.75" customHeight="1" x14ac:dyDescent="0.3">
      <c r="A14" s="2" t="s">
        <v>115</v>
      </c>
      <c r="C14" s="379"/>
      <c r="E14" s="2" t="s">
        <v>116</v>
      </c>
      <c r="F14" s="466"/>
      <c r="G14" s="466"/>
      <c r="I14" s="4" t="str">
        <f>IF(G10="oui","Suppl. vacances","")</f>
        <v/>
      </c>
      <c r="K14" s="4" t="str">
        <f>IF($G$10="oui",(IF(L14=8.33%,"4 semaines","5 semaines")),"")</f>
        <v/>
      </c>
      <c r="L14" s="48" t="str">
        <f>IF(G10="oui",(IF(OR((DATEDIF($F$7,$C$21,"Y")&lt;20),(DATEDIF($F$7,$C$21,"Y")&gt;49)),10.64%,8.33%)),"")</f>
        <v/>
      </c>
      <c r="M14" s="247" t="str">
        <f>IF(G10="oui",M13/(1+L14)*L14,"")</f>
        <v/>
      </c>
      <c r="S14" s="258"/>
      <c r="T14" s="1"/>
      <c r="U14" s="254"/>
      <c r="W14" s="425"/>
      <c r="Y14" s="157">
        <f>M8</f>
        <v>0</v>
      </c>
      <c r="Z14" s="188">
        <f>SUM(Z11:Z13)</f>
        <v>0</v>
      </c>
      <c r="AA14" s="59"/>
      <c r="AB14" s="58" t="s">
        <v>117</v>
      </c>
      <c r="AC14" s="59" t="s">
        <v>90</v>
      </c>
      <c r="AD14" s="59"/>
    </row>
    <row r="15" spans="1:35" s="2" customFormat="1" ht="12.75" customHeight="1" x14ac:dyDescent="0.3">
      <c r="A15" s="2" t="s">
        <v>118</v>
      </c>
      <c r="C15" s="379"/>
      <c r="E15" s="2" t="s">
        <v>119</v>
      </c>
      <c r="F15" s="466"/>
      <c r="G15" s="466"/>
      <c r="I15" s="5" t="str">
        <f>IF(G10="oui","Salaire horaire II (sans Suppl. vacances)","")</f>
        <v/>
      </c>
      <c r="M15" s="248" t="str">
        <f>IF(G10="oui",M13-M14,"")</f>
        <v/>
      </c>
      <c r="S15" s="253" t="s">
        <v>120</v>
      </c>
      <c r="T15" s="389"/>
      <c r="U15" s="259" t="s">
        <v>121</v>
      </c>
      <c r="W15" s="1"/>
      <c r="Y15" s="2">
        <f>SUM(Y13:Y14)</f>
        <v>0</v>
      </c>
      <c r="Z15" s="59"/>
      <c r="AA15" s="59"/>
      <c r="AB15" s="59" t="s">
        <v>122</v>
      </c>
      <c r="AD15" s="59"/>
    </row>
    <row r="16" spans="1:35" s="2" customFormat="1" ht="12.75" customHeight="1" thickBot="1" x14ac:dyDescent="0.35">
      <c r="A16" s="2" t="s">
        <v>123</v>
      </c>
      <c r="C16" s="378" t="s">
        <v>73</v>
      </c>
      <c r="E16" s="2" t="s">
        <v>124</v>
      </c>
      <c r="F16" s="466"/>
      <c r="G16" s="466"/>
      <c r="S16" s="260" t="s">
        <v>125</v>
      </c>
      <c r="T16" s="390"/>
      <c r="U16" s="261" t="s">
        <v>126</v>
      </c>
      <c r="W16" s="1"/>
      <c r="Z16" s="59"/>
      <c r="AA16" s="59"/>
      <c r="AB16" s="58" t="s">
        <v>127</v>
      </c>
      <c r="AC16" s="59"/>
      <c r="AD16" s="59"/>
    </row>
    <row r="17" spans="1:37" s="2" customFormat="1" ht="12.75" customHeight="1" thickBot="1" x14ac:dyDescent="0.35">
      <c r="A17" s="2" t="str">
        <f>IF(C16="Salaire mensuel","13ème salaire","")</f>
        <v/>
      </c>
      <c r="C17" s="329"/>
      <c r="D17" s="176" t="str">
        <f>IF(C17&gt;1,"",IF(A17="13ème salaire","à choisir",""))</f>
        <v/>
      </c>
      <c r="E17" s="422" t="s">
        <v>128</v>
      </c>
      <c r="F17" s="423" t="str">
        <f>IF($F$7="","",IF($C$10="masculin",DATE(YEAR($F$7)+65,MONTH($F$7)+1,1),IF($C$10="féminin",DATE(YEAR($F$7)+64,MONTH($F$7)+1+VLOOKUP(YEAR($F$7),Grundlagen!$F$1:$G$26,2,TRUE),1),"")))</f>
        <v/>
      </c>
      <c r="H17" s="175"/>
      <c r="W17" s="1"/>
      <c r="X17" s="59"/>
      <c r="Y17" s="59"/>
      <c r="Z17" s="59"/>
      <c r="AA17" s="59"/>
      <c r="AB17" s="59" t="s">
        <v>129</v>
      </c>
      <c r="AC17" s="59"/>
      <c r="AD17" s="59"/>
    </row>
    <row r="18" spans="1:37" s="2" customFormat="1" ht="12" customHeight="1" x14ac:dyDescent="0.3">
      <c r="H18" s="175"/>
      <c r="M18" s="175"/>
      <c r="S18" s="484" t="s">
        <v>130</v>
      </c>
      <c r="T18" s="485"/>
      <c r="U18" s="486"/>
      <c r="V18" s="340"/>
      <c r="X18" s="158"/>
      <c r="Y18" s="159"/>
      <c r="Z18" s="59"/>
      <c r="AA18" s="59"/>
      <c r="AB18" s="59" t="s">
        <v>131</v>
      </c>
      <c r="AC18" s="59"/>
      <c r="AD18" s="59"/>
      <c r="AE18" s="59"/>
    </row>
    <row r="19" spans="1:37" s="2" customFormat="1" ht="14" x14ac:dyDescent="0.3">
      <c r="A19" s="41" t="s">
        <v>132</v>
      </c>
      <c r="B19" s="41"/>
      <c r="C19" s="52"/>
      <c r="D19" s="52"/>
      <c r="E19" s="52"/>
      <c r="F19" s="52"/>
      <c r="G19" s="52"/>
      <c r="H19" s="52"/>
      <c r="I19" s="41" t="str">
        <f>$A$19</f>
        <v>Décompte de salaire</v>
      </c>
      <c r="J19" s="41"/>
      <c r="K19" s="52"/>
      <c r="L19" s="52"/>
      <c r="M19" s="52"/>
      <c r="N19" s="52"/>
      <c r="O19" s="52"/>
      <c r="P19" s="52"/>
      <c r="Q19" s="52"/>
      <c r="S19" s="262"/>
      <c r="U19" s="263"/>
      <c r="X19" s="158"/>
      <c r="Y19" s="159"/>
      <c r="Z19" s="59"/>
      <c r="AA19" s="59"/>
      <c r="AB19" s="59" t="s">
        <v>133</v>
      </c>
      <c r="AC19" s="59"/>
      <c r="AD19" s="59"/>
      <c r="AE19" s="59"/>
    </row>
    <row r="20" spans="1:37" s="2" customFormat="1" ht="5.15" customHeight="1" thickBot="1" x14ac:dyDescent="0.3">
      <c r="C20" s="80"/>
      <c r="D20" s="81"/>
      <c r="E20" s="5"/>
      <c r="F20" s="5"/>
      <c r="G20" s="5"/>
      <c r="H20" s="49"/>
      <c r="I20" s="49"/>
      <c r="K20" s="49"/>
      <c r="S20" s="481">
        <f>IF(F7="",0,IF(OR(G13="ordinaire",G13="à choisir"),0,(IF(G13="simplifiée",IF(OR($F$9="Conjoint-e",$F$9="Enfant",$F$9="Partenariat enrégistré"),"Ni la conjointe ou le conjoint de l’employeur ni ses enfants ne peuvent utiliser la procédure de décompte AVS simplifiée.",IF(OR(Q38+Q39&gt;Grundlagen!$B$8-0.01,U2&gt;Grundlagen!$B$8-0.01),"La procédure de décompte simplifiée ne peut pas être appliquée si le salaire annuel est supérieur à CHF"&amp;Grundlagen!$B$8&amp;"!",IF(AA6="oui","La procédure de décompte simplifiée ne peut pas être appliquée si la masse salariale totale est supérieure à CHF "&amp;Grundlagen!$B$9&amp;"!",IF(DATEDIF($F$7,$A$21,"Y")&lt;19,0,IF(G13="ordinaire",0,0)))))))))</f>
        <v>0</v>
      </c>
      <c r="T20" s="482"/>
      <c r="U20" s="483"/>
      <c r="V20" s="370"/>
      <c r="X20" s="158"/>
      <c r="Y20" s="159"/>
      <c r="Z20" s="59"/>
      <c r="AA20" s="59"/>
      <c r="AB20" s="59"/>
      <c r="AD20" s="59"/>
      <c r="AE20" s="59"/>
    </row>
    <row r="21" spans="1:37" s="2" customFormat="1" ht="15" customHeight="1" x14ac:dyDescent="0.25">
      <c r="A21" s="310">
        <f>Grundlagen!$C$1</f>
        <v>46387</v>
      </c>
      <c r="B21" s="269"/>
      <c r="C21" s="82">
        <f>Grundlagen!$B$1</f>
        <v>46023</v>
      </c>
      <c r="D21" s="82">
        <f>DATE(YEAR(C21),MONTH(C21)+1,1)</f>
        <v>46054</v>
      </c>
      <c r="E21" s="82">
        <f t="shared" ref="E21:H21" si="0">DATE(YEAR(D21),MONTH(D21)+1,1)</f>
        <v>46082</v>
      </c>
      <c r="F21" s="82">
        <f t="shared" si="0"/>
        <v>46113</v>
      </c>
      <c r="G21" s="82">
        <f t="shared" si="0"/>
        <v>46143</v>
      </c>
      <c r="H21" s="69">
        <f t="shared" si="0"/>
        <v>46174</v>
      </c>
      <c r="I21" s="310">
        <f t="shared" ref="I21:I52" si="1">A21</f>
        <v>46387</v>
      </c>
      <c r="J21" s="269"/>
      <c r="K21" s="82">
        <f>DATE(YEAR(H21),MONTH(H21)+1,1)</f>
        <v>46204</v>
      </c>
      <c r="L21" s="82">
        <f>DATE(YEAR(K21),MONTH(K21)+1,1)</f>
        <v>46235</v>
      </c>
      <c r="M21" s="82">
        <f t="shared" ref="M21:P21" si="2">DATE(YEAR(L21),MONTH(L21)+1,1)</f>
        <v>46266</v>
      </c>
      <c r="N21" s="82">
        <f t="shared" si="2"/>
        <v>46296</v>
      </c>
      <c r="O21" s="82">
        <f t="shared" si="2"/>
        <v>46327</v>
      </c>
      <c r="P21" s="69">
        <f t="shared" si="2"/>
        <v>46357</v>
      </c>
      <c r="Q21" s="97" t="s">
        <v>134</v>
      </c>
      <c r="S21" s="481"/>
      <c r="T21" s="482"/>
      <c r="U21" s="483"/>
      <c r="V21" s="370"/>
      <c r="W21" s="2">
        <f>IF(S20=0,0,5)</f>
        <v>0</v>
      </c>
      <c r="X21" s="158"/>
      <c r="Y21" s="159"/>
      <c r="Z21" s="59"/>
      <c r="AA21" s="59"/>
      <c r="AB21" s="59"/>
      <c r="AC21" s="59"/>
      <c r="AD21" s="59"/>
      <c r="AE21" s="59"/>
    </row>
    <row r="22" spans="1:37" s="2" customFormat="1" ht="15" customHeight="1" x14ac:dyDescent="0.25">
      <c r="A22" s="311" t="str">
        <f>IF($C$16="Salaire horaire","",IF(C16="à choisir","","Salaire mensuel"))</f>
        <v/>
      </c>
      <c r="B22" s="270" t="str">
        <f>IF(A22="Salaire mensuel","CHF"," ")</f>
        <v xml:space="preserve"> </v>
      </c>
      <c r="C22" s="286">
        <f t="shared" ref="C22:H22" si="3">IF(OR($C$16="Salaire horaire",$C$16="à choisir"),0,IF($C$16="Salaire mensuel",(IF(OR(MONTH(IF($C$14&lt;$C$21,$C$21,$C$14))&gt;MONTH(C21),MONTH(IF($C$15="",$A$21,$C$15))&lt;MONTH(C21)),0,$M$8))))</f>
        <v>0</v>
      </c>
      <c r="D22" s="286">
        <f t="shared" si="3"/>
        <v>0</v>
      </c>
      <c r="E22" s="286">
        <f t="shared" si="3"/>
        <v>0</v>
      </c>
      <c r="F22" s="286">
        <f t="shared" si="3"/>
        <v>0</v>
      </c>
      <c r="G22" s="286">
        <f t="shared" si="3"/>
        <v>0</v>
      </c>
      <c r="H22" s="287">
        <f t="shared" si="3"/>
        <v>0</v>
      </c>
      <c r="I22" s="312" t="str">
        <f t="shared" si="1"/>
        <v/>
      </c>
      <c r="J22" s="270" t="str">
        <f>IF(I22="Salaire mensuel","CHF"," ")</f>
        <v xml:space="preserve"> </v>
      </c>
      <c r="K22" s="286">
        <f t="shared" ref="K22:P22" si="4">IF(OR($C$16="Salaire horaire",$C$16="à choisir"),0,IF($C$16="Salaire mensuel",(IF(OR(MONTH(IF($C$14&lt;$C$21,$C$21,$C$14))&gt;MONTH(K21),MONTH(IF($C$15="",$A$21,$C$15))&lt;MONTH(K21)),0,$M$8))))</f>
        <v>0</v>
      </c>
      <c r="L22" s="286">
        <f t="shared" si="4"/>
        <v>0</v>
      </c>
      <c r="M22" s="286">
        <f t="shared" si="4"/>
        <v>0</v>
      </c>
      <c r="N22" s="286">
        <f t="shared" si="4"/>
        <v>0</v>
      </c>
      <c r="O22" s="286">
        <f t="shared" si="4"/>
        <v>0</v>
      </c>
      <c r="P22" s="287">
        <f t="shared" si="4"/>
        <v>0</v>
      </c>
      <c r="Q22" s="302">
        <f t="shared" ref="Q22:Q37" si="5">ROUND((SUM(C22:H22)+SUM(K22:P22))*20,0)/20</f>
        <v>0</v>
      </c>
      <c r="S22" s="481"/>
      <c r="T22" s="482"/>
      <c r="U22" s="483"/>
      <c r="V22" s="370"/>
      <c r="X22" s="158"/>
      <c r="Y22" s="159"/>
      <c r="Z22" s="59"/>
      <c r="AA22" s="59"/>
      <c r="AB22" s="59"/>
      <c r="AC22" s="59"/>
      <c r="AD22" s="59"/>
      <c r="AE22" s="59"/>
    </row>
    <row r="23" spans="1:37" s="2" customFormat="1" ht="15" customHeight="1" x14ac:dyDescent="0.25">
      <c r="A23" s="311" t="str">
        <f>IF($C$16="Salaire horaire","",(IF($C$17="oui","13. Salaire mensuel","")))</f>
        <v/>
      </c>
      <c r="B23" s="270" t="str">
        <f>IF(A23="13. Salaire mensuel","CHF"," ")</f>
        <v xml:space="preserve"> </v>
      </c>
      <c r="C23" s="286">
        <f t="shared" ref="C23:H23" si="6">IF(OR($C$16="Salaire horaire",$C$16="à choisir"),0,(IF($C$17="oui",(C$22+C32+C33)/12,"")))</f>
        <v>0</v>
      </c>
      <c r="D23" s="288">
        <f t="shared" si="6"/>
        <v>0</v>
      </c>
      <c r="E23" s="288">
        <f t="shared" si="6"/>
        <v>0</v>
      </c>
      <c r="F23" s="288">
        <f t="shared" si="6"/>
        <v>0</v>
      </c>
      <c r="G23" s="288">
        <f t="shared" si="6"/>
        <v>0</v>
      </c>
      <c r="H23" s="287">
        <f t="shared" si="6"/>
        <v>0</v>
      </c>
      <c r="I23" s="312" t="str">
        <f t="shared" si="1"/>
        <v/>
      </c>
      <c r="J23" s="270" t="str">
        <f>IF(I23="13. Salaire mensuel","CHF"," ")</f>
        <v xml:space="preserve"> </v>
      </c>
      <c r="K23" s="288">
        <f t="shared" ref="K23:P23" si="7">IF(OR($C$16="Salaire horaire",$C$16="à choisir"),0,(IF($C$17="oui",(K$22+K32+K33)/12,"")))</f>
        <v>0</v>
      </c>
      <c r="L23" s="288">
        <f t="shared" si="7"/>
        <v>0</v>
      </c>
      <c r="M23" s="288">
        <f t="shared" si="7"/>
        <v>0</v>
      </c>
      <c r="N23" s="303">
        <f t="shared" si="7"/>
        <v>0</v>
      </c>
      <c r="O23" s="288">
        <f t="shared" si="7"/>
        <v>0</v>
      </c>
      <c r="P23" s="287">
        <f t="shared" si="7"/>
        <v>0</v>
      </c>
      <c r="Q23" s="240">
        <f t="shared" si="5"/>
        <v>0</v>
      </c>
      <c r="S23" s="262"/>
      <c r="U23" s="263"/>
      <c r="Y23" s="58"/>
      <c r="Z23" s="58"/>
      <c r="AA23" s="58"/>
      <c r="AB23" s="58"/>
      <c r="AC23" s="58"/>
      <c r="AD23" s="58"/>
      <c r="AE23" s="58"/>
      <c r="AF23" s="58"/>
    </row>
    <row r="24" spans="1:37" s="2" customFormat="1" ht="15" customHeight="1" x14ac:dyDescent="0.25">
      <c r="A24" s="444" t="str">
        <f>IF(G11="oui","Nombre d'heures 
de garde","")</f>
        <v/>
      </c>
      <c r="B24" s="447" t="str">
        <f>IF(A24="Nombre d'heures 
de garde","h"," ")</f>
        <v xml:space="preserve"> </v>
      </c>
      <c r="C24" s="288"/>
      <c r="D24" s="288"/>
      <c r="E24" s="288"/>
      <c r="F24" s="288"/>
      <c r="G24" s="288"/>
      <c r="H24" s="287"/>
      <c r="I24" s="311" t="str">
        <f t="shared" si="1"/>
        <v/>
      </c>
      <c r="J24" s="330" t="str">
        <f>B24</f>
        <v xml:space="preserve"> </v>
      </c>
      <c r="K24" s="288"/>
      <c r="L24" s="288"/>
      <c r="M24" s="288"/>
      <c r="N24" s="288"/>
      <c r="O24" s="288"/>
      <c r="P24" s="287"/>
      <c r="Q24" s="304">
        <f t="shared" si="5"/>
        <v>0</v>
      </c>
      <c r="S24" s="481">
        <f>IF(OR(AND(Z6="simplifiée",'PA 2'!Z6="simplifiée",'PA 3'!Z6="simplifiée",'PA 4'!Z6="simplifiée",'PA 5'!Z6="simplifiée",'PA 6'!Z6="simplifiée",'PA 7'!Z6="simplifiée",'PA 8'!Z6="simplifiée",'PA 9'!Z6="simplifiée"),(AND(Z7="ordinaire",'PA 2'!Z7="ordinaire",'PA 3'!Z7="ordinaire",'PA 4'!Z7="ordinaire",'PA 5'!Z7="ordinaire",'PA 6'!Z7="ordinaire",'PA 7'!Z7="ordinaire",'PA 8'!Z7="ordinaire",'PA 9'!Z7="ordinaire"))),0,"ATTENTION: la même procédure de décompte AVS doit être utilisée pour tous les prestataires d’assistance!")</f>
        <v>0</v>
      </c>
      <c r="T24" s="482"/>
      <c r="U24" s="483"/>
      <c r="V24" s="370"/>
      <c r="Y24" s="58"/>
      <c r="Z24" s="58"/>
      <c r="AA24" s="58"/>
      <c r="AB24" s="58"/>
      <c r="AC24" s="58"/>
      <c r="AD24" s="58"/>
      <c r="AE24" s="58"/>
      <c r="AF24" s="58"/>
    </row>
    <row r="25" spans="1:37" s="6" customFormat="1" ht="13" x14ac:dyDescent="0.3">
      <c r="A25" s="450" t="str">
        <f>IF(AND(C16="Salaire mensuel",G12="oui"),"Nombre d'engagements de nuit",IF(P10&gt;0.1,"Nombre d'engagements de nuit",""))</f>
        <v/>
      </c>
      <c r="B25" s="270" t="str">
        <f>IF(A25="Nombre d'engagements de nuit","Nb."," ")</f>
        <v xml:space="preserve"> </v>
      </c>
      <c r="C25" s="289"/>
      <c r="D25" s="289"/>
      <c r="E25" s="289"/>
      <c r="F25" s="289"/>
      <c r="G25" s="289"/>
      <c r="H25" s="290"/>
      <c r="I25" s="450" t="str">
        <f t="shared" si="1"/>
        <v/>
      </c>
      <c r="J25" s="270" t="str">
        <f>B25</f>
        <v xml:space="preserve"> </v>
      </c>
      <c r="K25" s="289"/>
      <c r="L25" s="289"/>
      <c r="M25" s="289"/>
      <c r="N25" s="289"/>
      <c r="O25" s="289"/>
      <c r="P25" s="305"/>
      <c r="Q25" s="302">
        <f t="shared" si="5"/>
        <v>0</v>
      </c>
      <c r="R25" s="76"/>
      <c r="S25" s="481"/>
      <c r="T25" s="482"/>
      <c r="U25" s="483"/>
      <c r="V25" s="370"/>
      <c r="W25" s="2">
        <f>IF(S24&gt;1,5,0)</f>
        <v>0</v>
      </c>
      <c r="X25" s="102"/>
      <c r="Y25" s="99"/>
      <c r="Z25" s="100"/>
      <c r="AA25" s="77"/>
      <c r="AB25" s="77"/>
      <c r="AC25" s="77"/>
      <c r="AD25" s="77"/>
      <c r="AE25" s="77"/>
      <c r="AF25" s="77"/>
    </row>
    <row r="26" spans="1:37" s="6" customFormat="1" ht="15" customHeight="1" x14ac:dyDescent="0.3">
      <c r="A26" s="312" t="str">
        <f>IF(AND($C$16="Salaire mensuel",$G$12="oui"),"Nombre d'heures",IF(C16="Salaire horaire",IF(G10="oui","Nombre d'heures I","Nombre d'heures"),""))</f>
        <v/>
      </c>
      <c r="B26" s="271" t="str">
        <f>IF(OR(A26="Nombre d'heures Standard",A26="Nombre d'heures",A26="Nombre d'heures I"),"h"," ")</f>
        <v xml:space="preserve"> </v>
      </c>
      <c r="C26" s="288"/>
      <c r="D26" s="288"/>
      <c r="E26" s="288"/>
      <c r="F26" s="288"/>
      <c r="G26" s="288"/>
      <c r="H26" s="287"/>
      <c r="I26" s="312" t="str">
        <f t="shared" si="1"/>
        <v/>
      </c>
      <c r="J26" s="271" t="str">
        <f>IF(OR(I26="Nombre d'heures Standard",I26="Nombre d'heures",I26="Nombre d'heures I"),"h"," ")</f>
        <v xml:space="preserve"> </v>
      </c>
      <c r="K26" s="288"/>
      <c r="L26" s="288"/>
      <c r="M26" s="288"/>
      <c r="N26" s="288"/>
      <c r="O26" s="288"/>
      <c r="P26" s="287"/>
      <c r="Q26" s="304">
        <f t="shared" si="5"/>
        <v>0</v>
      </c>
      <c r="R26" s="76"/>
      <c r="S26" s="481"/>
      <c r="T26" s="482"/>
      <c r="U26" s="483"/>
      <c r="V26" s="370"/>
      <c r="W26" s="76"/>
      <c r="X26" s="102"/>
      <c r="Y26" s="99"/>
      <c r="Z26" s="59"/>
      <c r="AA26" s="77"/>
      <c r="AB26" s="77"/>
      <c r="AC26" s="77"/>
      <c r="AD26" s="77"/>
      <c r="AE26" s="77"/>
      <c r="AF26" s="77"/>
    </row>
    <row r="27" spans="1:37" s="6" customFormat="1" ht="15" customHeight="1" x14ac:dyDescent="0.3">
      <c r="A27" s="312" t="str">
        <f>IF($C$16="Salaire horaire",IF(G10="oui","Salaire horaire I","Salaire horaire"),"")</f>
        <v/>
      </c>
      <c r="B27" s="270" t="str">
        <f>IF(OR(A27="Salaire horaire Standard",A27="Salaire horaire",A27="Salaire horaire I"),"CHF"," ")</f>
        <v xml:space="preserve"> </v>
      </c>
      <c r="C27" s="237" t="str">
        <f t="shared" ref="C27:H27" si="8">IF($C$16="Salaire horaire",(IF(OR((DATEDIF($F$7,C21,"Y")&lt;20),(DATEDIF($F$7,C21,"Y")&gt;49)),$M$8/110.64%*(C26+C24*$P$7+C25*$P$10),$M$8/108.33%*(C26+C24*$P$7+C25*$P$10))),"")</f>
        <v/>
      </c>
      <c r="D27" s="237" t="str">
        <f t="shared" si="8"/>
        <v/>
      </c>
      <c r="E27" s="237" t="str">
        <f t="shared" si="8"/>
        <v/>
      </c>
      <c r="F27" s="237" t="str">
        <f t="shared" si="8"/>
        <v/>
      </c>
      <c r="G27" s="237" t="str">
        <f t="shared" si="8"/>
        <v/>
      </c>
      <c r="H27" s="238" t="str">
        <f t="shared" si="8"/>
        <v/>
      </c>
      <c r="I27" s="312" t="str">
        <f t="shared" si="1"/>
        <v/>
      </c>
      <c r="J27" s="270" t="str">
        <f>IF(OR(I27="Salaire horaire Standard",I27="Salaire horaire",I27="Salaire horaire I"),"CHF"," ")</f>
        <v xml:space="preserve"> </v>
      </c>
      <c r="K27" s="237" t="str">
        <f t="shared" ref="K27:P27" si="9">IF($C$16="Salaire horaire",(IF(OR((DATEDIF($F$7,K21,"Y")&lt;20),(DATEDIF($F$7,K21,"Y")&gt;49)),$M$8/110.64%*(K26+K24*$P$7+K25*$P$10),$M$8/108.33%*(K26+K24*$P$7+K25*$P$10))),"")</f>
        <v/>
      </c>
      <c r="L27" s="237" t="str">
        <f t="shared" si="9"/>
        <v/>
      </c>
      <c r="M27" s="237" t="str">
        <f t="shared" si="9"/>
        <v/>
      </c>
      <c r="N27" s="237" t="str">
        <f t="shared" si="9"/>
        <v/>
      </c>
      <c r="O27" s="237" t="str">
        <f t="shared" si="9"/>
        <v/>
      </c>
      <c r="P27" s="238" t="str">
        <f t="shared" si="9"/>
        <v/>
      </c>
      <c r="Q27" s="304">
        <f t="shared" si="5"/>
        <v>0</v>
      </c>
      <c r="R27" s="76"/>
      <c r="S27" s="262"/>
      <c r="T27" s="2"/>
      <c r="U27" s="263"/>
      <c r="V27" s="2"/>
      <c r="W27" s="76"/>
      <c r="X27" s="102"/>
      <c r="Y27" s="99"/>
      <c r="Z27" s="59"/>
      <c r="AA27" s="77"/>
      <c r="AB27" s="77"/>
      <c r="AC27" s="77"/>
      <c r="AD27" s="77"/>
      <c r="AE27" s="77"/>
      <c r="AF27" s="77"/>
    </row>
    <row r="28" spans="1:37" s="2" customFormat="1" ht="15" customHeight="1" x14ac:dyDescent="0.25">
      <c r="A28" s="312" t="str">
        <f>IF(G10="oui","Nombre d'heures II","")</f>
        <v/>
      </c>
      <c r="B28" s="271" t="str">
        <f>IF(OR(A28="Nombre d'heures Quali B",A28="Nombre d'heures II"),"h"," ")</f>
        <v xml:space="preserve"> </v>
      </c>
      <c r="C28" s="288"/>
      <c r="D28" s="288"/>
      <c r="E28" s="288"/>
      <c r="F28" s="288"/>
      <c r="G28" s="288"/>
      <c r="H28" s="287"/>
      <c r="I28" s="312" t="str">
        <f t="shared" si="1"/>
        <v/>
      </c>
      <c r="J28" s="271" t="str">
        <f>IF(OR(I28="Nombre d'heures Quali B",I28="Nombre d'heures II"),"h"," ")</f>
        <v xml:space="preserve"> </v>
      </c>
      <c r="K28" s="288"/>
      <c r="L28" s="288"/>
      <c r="M28" s="288"/>
      <c r="N28" s="303"/>
      <c r="O28" s="288"/>
      <c r="P28" s="287"/>
      <c r="Q28" s="304">
        <f t="shared" si="5"/>
        <v>0</v>
      </c>
      <c r="R28" s="78"/>
      <c r="S28" s="481">
        <f>IF(AND(AC6="oui",(G12="oui")),"ATTENTION: le salaire des proches ne doit pas ètre réglé avec la contribution d'assistance d l'AI",0)</f>
        <v>0</v>
      </c>
      <c r="T28" s="482"/>
      <c r="U28" s="483"/>
      <c r="V28" s="370"/>
      <c r="W28" s="78"/>
      <c r="X28" s="101"/>
      <c r="Y28" s="98"/>
    </row>
    <row r="29" spans="1:37" s="6" customFormat="1" ht="15" customHeight="1" x14ac:dyDescent="0.25">
      <c r="A29" s="312" t="str">
        <f>IF(G10="oui","Salaire horaire II","")</f>
        <v/>
      </c>
      <c r="B29" s="270" t="str">
        <f>IF(OR(A29="Salaire horaire Quali B",A29="Salaire horaire II"),"CHF"," ")</f>
        <v xml:space="preserve"> </v>
      </c>
      <c r="C29" s="237" t="str">
        <f t="shared" ref="C29:H29" si="10">IF($C$16="Salaire horaire",(IF(OR((DATEDIF($F$7,C21,"Y")&lt;20),(DATEDIF($F$7,C21,"Y")&gt;49)),$M$13/110.64%*(C28),$M$13/108.33%*(C28))),"")</f>
        <v/>
      </c>
      <c r="D29" s="237" t="str">
        <f t="shared" si="10"/>
        <v/>
      </c>
      <c r="E29" s="237" t="str">
        <f t="shared" si="10"/>
        <v/>
      </c>
      <c r="F29" s="237" t="str">
        <f t="shared" si="10"/>
        <v/>
      </c>
      <c r="G29" s="237" t="str">
        <f t="shared" si="10"/>
        <v/>
      </c>
      <c r="H29" s="238" t="str">
        <f t="shared" si="10"/>
        <v/>
      </c>
      <c r="I29" s="312" t="str">
        <f t="shared" si="1"/>
        <v/>
      </c>
      <c r="J29" s="270" t="str">
        <f>IF(OR(I29="Salaire horaire Quali B",I29="Salaire horaire II"),"CHF"," ")</f>
        <v xml:space="preserve"> </v>
      </c>
      <c r="K29" s="237" t="str">
        <f t="shared" ref="K29:P29" si="11">IF($C$16="Salaire horaire",(IF(OR((DATEDIF($F$7,K21,"Y")&lt;20),(DATEDIF($F$7,K21,"Y")&gt;49)),$M$13/110.64%*(K28),$M$13/108.33%*(K28))),"")</f>
        <v/>
      </c>
      <c r="L29" s="237" t="str">
        <f t="shared" si="11"/>
        <v/>
      </c>
      <c r="M29" s="237" t="str">
        <f t="shared" si="11"/>
        <v/>
      </c>
      <c r="N29" s="237" t="str">
        <f t="shared" si="11"/>
        <v/>
      </c>
      <c r="O29" s="237" t="str">
        <f t="shared" si="11"/>
        <v/>
      </c>
      <c r="P29" s="238" t="str">
        <f t="shared" si="11"/>
        <v/>
      </c>
      <c r="Q29" s="304">
        <f t="shared" si="5"/>
        <v>0</v>
      </c>
      <c r="R29" s="65"/>
      <c r="S29" s="481"/>
      <c r="T29" s="482"/>
      <c r="U29" s="483"/>
      <c r="V29" s="370"/>
      <c r="W29" s="2">
        <f>IF(S28&gt;1,5,0)</f>
        <v>0</v>
      </c>
      <c r="X29" s="103"/>
      <c r="Y29" s="98"/>
      <c r="Z29" s="59"/>
      <c r="AA29" s="59"/>
      <c r="AB29" s="59"/>
      <c r="AC29" s="59"/>
      <c r="AD29" s="59"/>
      <c r="AE29" s="59"/>
      <c r="AF29" s="59"/>
    </row>
    <row r="30" spans="1:37" s="6" customFormat="1" ht="15" customHeight="1" x14ac:dyDescent="0.25">
      <c r="A30" s="312" t="str">
        <f>IF($C$16="Salaire horaire","Supplément de vacances","")</f>
        <v/>
      </c>
      <c r="B30" s="270" t="str">
        <f>IF(A30="Supplément de vacances","CHF"," ")</f>
        <v xml:space="preserve"> </v>
      </c>
      <c r="C30" s="237">
        <f t="shared" ref="C30:H30" si="12">IF($C$16="Salaire horaire",(ROUND(IF(OR((DATEDIF($F$7,C$21,"Y")&lt;20),(DATEDIF($F$7,C$21,"Y")&gt;49)),(C$27+C$29)*10.64%,(C$27+C$29)*8.33%),2)),)</f>
        <v>0</v>
      </c>
      <c r="D30" s="237">
        <f t="shared" si="12"/>
        <v>0</v>
      </c>
      <c r="E30" s="237">
        <f t="shared" si="12"/>
        <v>0</v>
      </c>
      <c r="F30" s="237">
        <f t="shared" si="12"/>
        <v>0</v>
      </c>
      <c r="G30" s="237">
        <f t="shared" si="12"/>
        <v>0</v>
      </c>
      <c r="H30" s="238">
        <f t="shared" si="12"/>
        <v>0</v>
      </c>
      <c r="I30" s="312" t="str">
        <f t="shared" si="1"/>
        <v/>
      </c>
      <c r="J30" s="270" t="str">
        <f>IF(I30="Ferienzuschlag","CHF"," ")</f>
        <v xml:space="preserve"> </v>
      </c>
      <c r="K30" s="237">
        <f t="shared" ref="K30:P30" si="13">IF($C$16="Salaire horaire",(ROUND(IF(OR((DATEDIF($F$7,K$21,"Y")&lt;20),(DATEDIF($F$7,K$21,"Y")&gt;49)),(K$27+K$29)*10.64%,(K$27+K$29)*8.33%),2)),)</f>
        <v>0</v>
      </c>
      <c r="L30" s="237">
        <f t="shared" si="13"/>
        <v>0</v>
      </c>
      <c r="M30" s="237">
        <f t="shared" si="13"/>
        <v>0</v>
      </c>
      <c r="N30" s="237">
        <f t="shared" si="13"/>
        <v>0</v>
      </c>
      <c r="O30" s="237">
        <f t="shared" si="13"/>
        <v>0</v>
      </c>
      <c r="P30" s="238">
        <f t="shared" si="13"/>
        <v>0</v>
      </c>
      <c r="Q30" s="304">
        <f t="shared" si="5"/>
        <v>0</v>
      </c>
      <c r="R30" s="65"/>
      <c r="S30" s="481"/>
      <c r="T30" s="482"/>
      <c r="U30" s="483"/>
      <c r="V30" s="370"/>
      <c r="W30" s="65"/>
      <c r="X30" s="103"/>
      <c r="Y30" s="98"/>
      <c r="Z30" s="59"/>
      <c r="AA30" s="59"/>
      <c r="AB30" s="59"/>
      <c r="AC30" s="59"/>
      <c r="AD30" s="59"/>
      <c r="AE30" s="59"/>
      <c r="AF30" s="59"/>
    </row>
    <row r="31" spans="1:37" s="6" customFormat="1" x14ac:dyDescent="0.25">
      <c r="A31" s="313" t="s">
        <v>135</v>
      </c>
      <c r="B31" s="271" t="s">
        <v>136</v>
      </c>
      <c r="C31" s="382"/>
      <c r="D31" s="384"/>
      <c r="E31" s="384"/>
      <c r="F31" s="384"/>
      <c r="G31" s="384"/>
      <c r="H31" s="383"/>
      <c r="I31" s="313" t="str">
        <f t="shared" si="1"/>
        <v>Repas &amp; logement</v>
      </c>
      <c r="J31" s="271" t="s">
        <v>136</v>
      </c>
      <c r="K31" s="382"/>
      <c r="L31" s="382"/>
      <c r="M31" s="382"/>
      <c r="N31" s="382"/>
      <c r="O31" s="382"/>
      <c r="P31" s="383"/>
      <c r="Q31" s="83">
        <f t="shared" si="5"/>
        <v>0</v>
      </c>
      <c r="R31" s="65"/>
      <c r="S31" s="470">
        <f>IF(AND(M7+M13&gt;8,T11=0),"Remarque: à partir de 8 heures de travail effectives par semaine, l’employé doit avoir souscrit une assurance-accidents non professionnels!",0)</f>
        <v>0</v>
      </c>
      <c r="T31" s="471"/>
      <c r="U31" s="472"/>
      <c r="V31" s="369"/>
      <c r="W31" s="2"/>
      <c r="X31" s="103"/>
      <c r="Y31" s="98"/>
      <c r="Z31" s="59"/>
      <c r="AA31" s="59"/>
      <c r="AB31" s="59"/>
      <c r="AC31" s="59"/>
      <c r="AD31" s="59"/>
      <c r="AE31" s="59"/>
      <c r="AF31" s="59"/>
    </row>
    <row r="32" spans="1:37" s="6" customFormat="1" ht="34.5" x14ac:dyDescent="0.25">
      <c r="A32" s="313" t="s">
        <v>137</v>
      </c>
      <c r="B32" s="272" t="s">
        <v>136</v>
      </c>
      <c r="C32" s="382"/>
      <c r="D32" s="384"/>
      <c r="E32" s="384"/>
      <c r="F32" s="384"/>
      <c r="G32" s="384"/>
      <c r="H32" s="385"/>
      <c r="I32" s="313" t="str">
        <f t="shared" si="1"/>
        <v>Oblig. de verser le salaire (art. 324a CO) (soumis à l'AVS)</v>
      </c>
      <c r="J32" s="272" t="s">
        <v>136</v>
      </c>
      <c r="K32" s="384"/>
      <c r="L32" s="384"/>
      <c r="M32" s="384"/>
      <c r="N32" s="386"/>
      <c r="O32" s="384"/>
      <c r="P32" s="385"/>
      <c r="Q32" s="70">
        <f t="shared" si="5"/>
        <v>0</v>
      </c>
      <c r="R32" s="65"/>
      <c r="S32" s="470"/>
      <c r="T32" s="471"/>
      <c r="U32" s="472"/>
      <c r="V32" s="369"/>
      <c r="W32" s="2">
        <f>IF(S31&gt;1,1,0)</f>
        <v>0</v>
      </c>
      <c r="X32" s="103"/>
      <c r="Y32" s="98"/>
      <c r="Z32" s="59"/>
      <c r="AA32" s="59"/>
      <c r="AB32" s="59"/>
      <c r="AC32" s="59"/>
      <c r="AD32" s="59"/>
      <c r="AE32" s="59"/>
      <c r="AF32" s="59"/>
      <c r="AK32" s="104"/>
    </row>
    <row r="33" spans="1:37" s="6" customFormat="1" ht="23" x14ac:dyDescent="0.25">
      <c r="A33" s="313" t="s">
        <v>138</v>
      </c>
      <c r="B33" s="272" t="s">
        <v>136</v>
      </c>
      <c r="C33" s="382"/>
      <c r="D33" s="384"/>
      <c r="E33" s="384"/>
      <c r="F33" s="384"/>
      <c r="G33" s="384"/>
      <c r="H33" s="385"/>
      <c r="I33" s="313" t="str">
        <f t="shared" si="1"/>
        <v>Oblig. de verser le salaire
(soumis à l'AVS)</v>
      </c>
      <c r="J33" s="272" t="s">
        <v>136</v>
      </c>
      <c r="K33" s="384"/>
      <c r="L33" s="384"/>
      <c r="M33" s="384"/>
      <c r="N33" s="386"/>
      <c r="O33" s="384"/>
      <c r="P33" s="385"/>
      <c r="Q33" s="70">
        <f t="shared" si="5"/>
        <v>0</v>
      </c>
      <c r="R33" s="65"/>
      <c r="S33" s="470">
        <f>IF(DATEDIF($F$7,C21,"Y")&lt;17,0,IF($C$67="oui",0,IF(AND(U2&gt;Grundlagen!$B$8-0.01,SUM(T15:T16)=0),"Remarque: si le salaire annuel brut AVS dépasse " &amp; Grundlagen!$B$8 &amp;" la personne doit être impérativement assurée auprès d’une institution de prévoyance professionnelle!",0)))</f>
        <v>0</v>
      </c>
      <c r="T33" s="471"/>
      <c r="U33" s="472"/>
      <c r="V33" s="369"/>
      <c r="W33" s="65"/>
      <c r="X33" s="103"/>
      <c r="Y33" s="98"/>
      <c r="Z33" s="59"/>
      <c r="AA33" s="59"/>
      <c r="AB33" s="59"/>
      <c r="AC33" s="59"/>
      <c r="AD33" s="59"/>
      <c r="AE33" s="59"/>
      <c r="AF33" s="59"/>
      <c r="AK33" s="104"/>
    </row>
    <row r="34" spans="1:37" s="6" customFormat="1" ht="23" x14ac:dyDescent="0.25">
      <c r="A34" s="314" t="s">
        <v>139</v>
      </c>
      <c r="B34" s="273" t="s">
        <v>136</v>
      </c>
      <c r="C34" s="382"/>
      <c r="D34" s="384"/>
      <c r="E34" s="384"/>
      <c r="F34" s="384"/>
      <c r="G34" s="384"/>
      <c r="H34" s="385"/>
      <c r="I34" s="314" t="str">
        <f t="shared" si="1"/>
        <v>Allocation maternité / militaire (soumis à l'AVS)</v>
      </c>
      <c r="J34" s="273" t="s">
        <v>136</v>
      </c>
      <c r="K34" s="384"/>
      <c r="L34" s="384"/>
      <c r="M34" s="384"/>
      <c r="N34" s="386"/>
      <c r="O34" s="384"/>
      <c r="P34" s="385"/>
      <c r="Q34" s="70">
        <f t="shared" si="5"/>
        <v>0</v>
      </c>
      <c r="R34" s="57"/>
      <c r="S34" s="470"/>
      <c r="T34" s="471"/>
      <c r="U34" s="472"/>
      <c r="V34" s="369"/>
      <c r="W34" s="2">
        <f>IF(S33&gt;1,1,0)</f>
        <v>0</v>
      </c>
      <c r="X34" s="101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</row>
    <row r="35" spans="1:37" s="2" customFormat="1" ht="23" x14ac:dyDescent="0.25">
      <c r="A35" s="314" t="s">
        <v>140</v>
      </c>
      <c r="B35" s="273" t="s">
        <v>136</v>
      </c>
      <c r="C35" s="382"/>
      <c r="D35" s="384"/>
      <c r="E35" s="384"/>
      <c r="F35" s="384"/>
      <c r="G35" s="384"/>
      <c r="H35" s="385"/>
      <c r="I35" s="314" t="str">
        <f t="shared" si="1"/>
        <v>Indemnité d'assurance
(non soumis AVS)</v>
      </c>
      <c r="J35" s="273" t="s">
        <v>136</v>
      </c>
      <c r="K35" s="384"/>
      <c r="L35" s="384"/>
      <c r="M35" s="384"/>
      <c r="N35" s="386"/>
      <c r="O35" s="384"/>
      <c r="P35" s="385"/>
      <c r="Q35" s="70">
        <f t="shared" si="5"/>
        <v>0</v>
      </c>
      <c r="R35" s="57"/>
      <c r="S35" s="470"/>
      <c r="T35" s="471"/>
      <c r="U35" s="472"/>
      <c r="V35" s="369"/>
      <c r="W35" s="57"/>
      <c r="X35" s="101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</row>
    <row r="36" spans="1:37" s="2" customFormat="1" ht="15" customHeight="1" x14ac:dyDescent="0.25">
      <c r="A36" s="312" t="s">
        <v>141</v>
      </c>
      <c r="B36" s="271" t="s">
        <v>136</v>
      </c>
      <c r="C36" s="382"/>
      <c r="D36" s="384"/>
      <c r="E36" s="384"/>
      <c r="F36" s="384"/>
      <c r="G36" s="384"/>
      <c r="H36" s="385"/>
      <c r="I36" s="312" t="str">
        <f t="shared" si="1"/>
        <v>Allocations familiales</v>
      </c>
      <c r="J36" s="271" t="s">
        <v>136</v>
      </c>
      <c r="K36" s="384"/>
      <c r="L36" s="384"/>
      <c r="M36" s="384"/>
      <c r="N36" s="386"/>
      <c r="O36" s="384"/>
      <c r="P36" s="385"/>
      <c r="Q36" s="70">
        <f t="shared" si="5"/>
        <v>0</v>
      </c>
      <c r="R36" s="57"/>
      <c r="S36" s="470">
        <f>IF(M8="",0,IF($C$16="Salaire horaire",(IF(AC6="non",IF(AND(AC6="non",AD7="oui"),0,"ATTENTION: le modèle bernois reconnaît un salaire horaire minimum de CHF 21.60 et maximum de CHF 56.50 pour les personnes autres que les proches."),IF(AND(AC6="oui",AD6="oui"),0,"ATTENTION: le modèle bernois reconnaît un salaire horaire minimum de CHF 21.60 pour les proches."))),(IF(AC6="non",IF(AND(AC6="non",AD7="oui"),(IF(AD8="oui","ATTENTION: pour les personnes autres que les proches, le modèle bernois reconnaît un salaire mensuel maximum de CHF 9'500 + 13e salaire ou de CHF 10'290 sans 13e salaire. Veuillez contrôler le taux d’occupation.",0)),"ATTENTION: pour les personnes autres que les proches, le modèle bernois reconnaît un salaire mensuel minimum de CHF 3'630 + 13e salaire ou de CHF 3'930 sans 13e salaire. Veuillez contrôler le taux d’occupation."),IF(AND(AC6="oui",AD6="oui"),0,"ATTENTION: pour les proches, le modèle bernois reconnaît un salaire mensuel de CHF 3'630 + 13e salaire ou de CHF 3'930 sans 13e salaire. Veuillez contrôler le taux d’occupation.")))))</f>
        <v>0</v>
      </c>
      <c r="T36" s="471"/>
      <c r="U36" s="472"/>
      <c r="V36" s="369"/>
      <c r="W36" s="57"/>
      <c r="X36" s="105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</row>
    <row r="37" spans="1:37" s="2" customFormat="1" ht="15" customHeight="1" x14ac:dyDescent="0.25">
      <c r="A37" s="315" t="s">
        <v>142</v>
      </c>
      <c r="B37" s="274" t="s">
        <v>136</v>
      </c>
      <c r="C37" s="291">
        <f t="shared" ref="C37:H37" si="14">MROUND(IF($C$16="Salaire horaire",SUM(C27,C29,C30,C31,C32,C33,C34,C35,C36),SUM(C22,C23,C30,C31,C32,C33,C34,C35,C36)),0.05)</f>
        <v>0</v>
      </c>
      <c r="D37" s="291">
        <f t="shared" si="14"/>
        <v>0</v>
      </c>
      <c r="E37" s="291">
        <f t="shared" si="14"/>
        <v>0</v>
      </c>
      <c r="F37" s="291">
        <f t="shared" si="14"/>
        <v>0</v>
      </c>
      <c r="G37" s="291">
        <f t="shared" si="14"/>
        <v>0</v>
      </c>
      <c r="H37" s="242">
        <f t="shared" si="14"/>
        <v>0</v>
      </c>
      <c r="I37" s="315" t="str">
        <f t="shared" si="1"/>
        <v>Salaire brut</v>
      </c>
      <c r="J37" s="274" t="s">
        <v>136</v>
      </c>
      <c r="K37" s="291">
        <f t="shared" ref="K37:P37" si="15">MROUND(IF($C$16="Salaire horaire",SUM(K27,K29,K30,K31,K32,K33,K34,K35,K36),SUM(K22,K23,K30,K31,K32,K33,K34,K35,K36)),0.05)</f>
        <v>0</v>
      </c>
      <c r="L37" s="291">
        <f t="shared" si="15"/>
        <v>0</v>
      </c>
      <c r="M37" s="291">
        <f t="shared" si="15"/>
        <v>0</v>
      </c>
      <c r="N37" s="291">
        <f t="shared" si="15"/>
        <v>0</v>
      </c>
      <c r="O37" s="291">
        <f t="shared" si="15"/>
        <v>0</v>
      </c>
      <c r="P37" s="242">
        <f t="shared" si="15"/>
        <v>0</v>
      </c>
      <c r="Q37" s="242">
        <f t="shared" si="5"/>
        <v>0</v>
      </c>
      <c r="R37" s="57"/>
      <c r="S37" s="470"/>
      <c r="T37" s="471"/>
      <c r="U37" s="472"/>
      <c r="V37" s="369"/>
      <c r="W37" s="2">
        <f>IF(S36&gt;1,5,0)</f>
        <v>0</v>
      </c>
      <c r="X37" s="101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</row>
    <row r="38" spans="1:37" s="2" customFormat="1" ht="15" customHeight="1" x14ac:dyDescent="0.25">
      <c r="A38" s="312" t="s">
        <v>143</v>
      </c>
      <c r="B38" s="275" t="s">
        <v>136</v>
      </c>
      <c r="C38" s="404">
        <f>C$80</f>
        <v>0</v>
      </c>
      <c r="D38" s="404">
        <f t="shared" ref="D38:H38" si="16">D$80</f>
        <v>0</v>
      </c>
      <c r="E38" s="404">
        <f t="shared" si="16"/>
        <v>0</v>
      </c>
      <c r="F38" s="404">
        <f t="shared" si="16"/>
        <v>0</v>
      </c>
      <c r="G38" s="404">
        <f t="shared" si="16"/>
        <v>0</v>
      </c>
      <c r="H38" s="405">
        <f t="shared" si="16"/>
        <v>0</v>
      </c>
      <c r="I38" s="312" t="str">
        <f t="shared" si="1"/>
        <v>Franchise rentier AVS</v>
      </c>
      <c r="J38" s="275" t="s">
        <v>136</v>
      </c>
      <c r="K38" s="404">
        <f>K$80</f>
        <v>0</v>
      </c>
      <c r="L38" s="404">
        <f t="shared" ref="L38:P38" si="17">L$80</f>
        <v>0</v>
      </c>
      <c r="M38" s="404">
        <f t="shared" si="17"/>
        <v>0</v>
      </c>
      <c r="N38" s="404">
        <f t="shared" si="17"/>
        <v>0</v>
      </c>
      <c r="O38" s="404">
        <f t="shared" si="17"/>
        <v>0</v>
      </c>
      <c r="P38" s="405">
        <f t="shared" si="17"/>
        <v>0</v>
      </c>
      <c r="Q38" s="307">
        <f>SUM(C38:H38)+SUM(K38:P38)</f>
        <v>0</v>
      </c>
      <c r="R38" s="57"/>
      <c r="S38" s="470"/>
      <c r="T38" s="471"/>
      <c r="U38" s="472"/>
      <c r="V38" s="369"/>
      <c r="W38" s="57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</row>
    <row r="39" spans="1:37" s="6" customFormat="1" ht="15" customHeight="1" x14ac:dyDescent="0.25">
      <c r="A39" s="315" t="s">
        <v>144</v>
      </c>
      <c r="B39" s="274" t="s">
        <v>136</v>
      </c>
      <c r="C39" s="291">
        <f>C37-C36-C35-C38</f>
        <v>0</v>
      </c>
      <c r="D39" s="291">
        <f t="shared" ref="D39:H39" si="18">D37-D36-D35-D38</f>
        <v>0</v>
      </c>
      <c r="E39" s="291">
        <f t="shared" si="18"/>
        <v>0</v>
      </c>
      <c r="F39" s="291">
        <f t="shared" si="18"/>
        <v>0</v>
      </c>
      <c r="G39" s="291">
        <f t="shared" si="18"/>
        <v>0</v>
      </c>
      <c r="H39" s="242">
        <f t="shared" si="18"/>
        <v>0</v>
      </c>
      <c r="I39" s="315" t="str">
        <f t="shared" si="1"/>
        <v>AVS montant brut</v>
      </c>
      <c r="J39" s="274" t="s">
        <v>136</v>
      </c>
      <c r="K39" s="291">
        <f t="shared" ref="K39:P39" si="19">K37-K36-K35-K38</f>
        <v>0</v>
      </c>
      <c r="L39" s="291">
        <f t="shared" si="19"/>
        <v>0</v>
      </c>
      <c r="M39" s="291">
        <f t="shared" si="19"/>
        <v>0</v>
      </c>
      <c r="N39" s="306">
        <f t="shared" si="19"/>
        <v>0</v>
      </c>
      <c r="O39" s="291">
        <f t="shared" si="19"/>
        <v>0</v>
      </c>
      <c r="P39" s="242">
        <f t="shared" si="19"/>
        <v>0</v>
      </c>
      <c r="Q39" s="242">
        <f>ROUND((SUM(C39:H39)+SUM(K39:P39))*20,0)/20</f>
        <v>0</v>
      </c>
      <c r="R39" s="79"/>
      <c r="S39" s="470"/>
      <c r="T39" s="471"/>
      <c r="U39" s="472"/>
      <c r="V39" s="369"/>
      <c r="W39" s="79"/>
      <c r="X39" s="2"/>
      <c r="Y39" s="106"/>
      <c r="Z39" s="106"/>
      <c r="AA39" s="106"/>
      <c r="AB39" s="106"/>
      <c r="AC39" s="106"/>
      <c r="AD39" s="106"/>
      <c r="AE39" s="64"/>
      <c r="AF39" s="64"/>
    </row>
    <row r="40" spans="1:37" s="2" customFormat="1" ht="15" customHeight="1" thickBot="1" x14ac:dyDescent="0.3">
      <c r="A40" s="312" t="str">
        <f>CONCATENATE("AVS/AI/APG ",T8*100,"%")</f>
        <v>AVS/AI/APG 0%</v>
      </c>
      <c r="B40" s="276" t="s">
        <v>136</v>
      </c>
      <c r="C40" s="234">
        <f>C$39*-$T$8</f>
        <v>0</v>
      </c>
      <c r="D40" s="234">
        <f t="shared" ref="D40:H40" si="20">D$39*-$T$8</f>
        <v>0</v>
      </c>
      <c r="E40" s="234">
        <f t="shared" si="20"/>
        <v>0</v>
      </c>
      <c r="F40" s="234">
        <f t="shared" si="20"/>
        <v>0</v>
      </c>
      <c r="G40" s="234">
        <f t="shared" si="20"/>
        <v>0</v>
      </c>
      <c r="H40" s="235">
        <f t="shared" si="20"/>
        <v>0</v>
      </c>
      <c r="I40" s="327" t="str">
        <f t="shared" si="1"/>
        <v>AVS/AI/APG 0%</v>
      </c>
      <c r="J40" s="276" t="s">
        <v>136</v>
      </c>
      <c r="K40" s="234">
        <f t="shared" ref="K40:P40" si="21">K$39*-$T$8</f>
        <v>0</v>
      </c>
      <c r="L40" s="234">
        <f t="shared" si="21"/>
        <v>0</v>
      </c>
      <c r="M40" s="234">
        <f t="shared" si="21"/>
        <v>0</v>
      </c>
      <c r="N40" s="236">
        <f t="shared" si="21"/>
        <v>0</v>
      </c>
      <c r="O40" s="234">
        <f t="shared" si="21"/>
        <v>0</v>
      </c>
      <c r="P40" s="235">
        <f t="shared" si="21"/>
        <v>0</v>
      </c>
      <c r="Q40" s="239">
        <f t="shared" ref="Q40:Q48" si="22">ROUND((SUM(C40:H40)+SUM(K40:P40))*20,0)/20</f>
        <v>0</v>
      </c>
      <c r="R40" s="65"/>
      <c r="S40" s="470"/>
      <c r="T40" s="471"/>
      <c r="U40" s="472"/>
      <c r="V40" s="369"/>
      <c r="W40" s="65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</row>
    <row r="41" spans="1:37" s="6" customFormat="1" ht="15" customHeight="1" x14ac:dyDescent="0.25">
      <c r="A41" s="312" t="str">
        <f>CONCATENATE("AC ",T9*100,"%")</f>
        <v>AC 0%</v>
      </c>
      <c r="B41" s="271" t="s">
        <v>136</v>
      </c>
      <c r="C41" s="237">
        <f>IF(C$38&lt;&gt;0,0,C$39*$T$9*-1)</f>
        <v>0</v>
      </c>
      <c r="D41" s="237">
        <f t="shared" ref="D41:H41" si="23">IF(D$38&lt;&gt;0,0,D$39*$T$9*-1)</f>
        <v>0</v>
      </c>
      <c r="E41" s="237">
        <f t="shared" si="23"/>
        <v>0</v>
      </c>
      <c r="F41" s="237">
        <f t="shared" si="23"/>
        <v>0</v>
      </c>
      <c r="G41" s="237">
        <f t="shared" si="23"/>
        <v>0</v>
      </c>
      <c r="H41" s="238">
        <f t="shared" si="23"/>
        <v>0</v>
      </c>
      <c r="I41" s="327" t="str">
        <f t="shared" si="1"/>
        <v>AC 0%</v>
      </c>
      <c r="J41" s="271" t="s">
        <v>136</v>
      </c>
      <c r="K41" s="237">
        <f>IF(K$38&lt;&gt;0,0,K$39*$T$9*-1)</f>
        <v>0</v>
      </c>
      <c r="L41" s="237">
        <f t="shared" ref="L41:P41" si="24">IF(L$38&lt;&gt;0,0,L$39*$T$9*-1)</f>
        <v>0</v>
      </c>
      <c r="M41" s="237">
        <f t="shared" si="24"/>
        <v>0</v>
      </c>
      <c r="N41" s="237">
        <f t="shared" si="24"/>
        <v>0</v>
      </c>
      <c r="O41" s="237">
        <f t="shared" si="24"/>
        <v>0</v>
      </c>
      <c r="P41" s="238">
        <f t="shared" si="24"/>
        <v>0</v>
      </c>
      <c r="Q41" s="240">
        <f t="shared" si="22"/>
        <v>0</v>
      </c>
      <c r="R41" s="79"/>
      <c r="S41" s="487"/>
      <c r="T41" s="487"/>
      <c r="U41" s="487"/>
      <c r="V41" s="65"/>
      <c r="X41" s="2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</row>
    <row r="42" spans="1:37" s="2" customFormat="1" ht="15" customHeight="1" x14ac:dyDescent="0.25">
      <c r="A42" s="312" t="str">
        <f>IF(T11&lt;0.01,"ANP",(CONCATENATE("ANP ",T11*100,"%")))</f>
        <v>ANP</v>
      </c>
      <c r="B42" s="271" t="s">
        <v>136</v>
      </c>
      <c r="C42" s="382">
        <f t="shared" ref="C42:H42" si="25">(C$37-C$34-C$35-C$36)*-$T$11</f>
        <v>0</v>
      </c>
      <c r="D42" s="382">
        <f t="shared" si="25"/>
        <v>0</v>
      </c>
      <c r="E42" s="382">
        <f t="shared" si="25"/>
        <v>0</v>
      </c>
      <c r="F42" s="382">
        <f t="shared" si="25"/>
        <v>0</v>
      </c>
      <c r="G42" s="382">
        <f t="shared" si="25"/>
        <v>0</v>
      </c>
      <c r="H42" s="383">
        <f t="shared" si="25"/>
        <v>0</v>
      </c>
      <c r="I42" s="327" t="str">
        <f t="shared" si="1"/>
        <v>ANP</v>
      </c>
      <c r="J42" s="271" t="s">
        <v>136</v>
      </c>
      <c r="K42" s="382">
        <f t="shared" ref="K42:P42" si="26">(K$37-K$34-K$35-K$36)*-$T$11</f>
        <v>0</v>
      </c>
      <c r="L42" s="382">
        <f t="shared" si="26"/>
        <v>0</v>
      </c>
      <c r="M42" s="382">
        <f t="shared" si="26"/>
        <v>0</v>
      </c>
      <c r="N42" s="386">
        <f t="shared" si="26"/>
        <v>0</v>
      </c>
      <c r="O42" s="382">
        <f t="shared" si="26"/>
        <v>0</v>
      </c>
      <c r="P42" s="383">
        <f t="shared" si="26"/>
        <v>0</v>
      </c>
      <c r="Q42" s="240">
        <f t="shared" si="22"/>
        <v>0</v>
      </c>
      <c r="R42" s="65"/>
      <c r="S42" s="488"/>
      <c r="T42" s="488"/>
      <c r="U42" s="488"/>
      <c r="V42" s="79"/>
      <c r="W42" s="2">
        <f>IF(S41&gt;1,1,0)</f>
        <v>0</v>
      </c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</row>
    <row r="43" spans="1:37" s="2" customFormat="1" ht="15" customHeight="1" x14ac:dyDescent="0.25">
      <c r="A43" s="312" t="str">
        <f>IF(T13&lt;0.0000001,"IJM",(CONCATENATE("IJM ",T13*100,"%")))</f>
        <v>IJM</v>
      </c>
      <c r="B43" s="271" t="s">
        <v>136</v>
      </c>
      <c r="C43" s="382">
        <f t="shared" ref="C43:H43" si="27">(C$37-C$34-C$35-C$36)*-$T$13</f>
        <v>0</v>
      </c>
      <c r="D43" s="382">
        <f t="shared" si="27"/>
        <v>0</v>
      </c>
      <c r="E43" s="382">
        <f t="shared" si="27"/>
        <v>0</v>
      </c>
      <c r="F43" s="382">
        <f t="shared" si="27"/>
        <v>0</v>
      </c>
      <c r="G43" s="382">
        <f t="shared" si="27"/>
        <v>0</v>
      </c>
      <c r="H43" s="383">
        <f t="shared" si="27"/>
        <v>0</v>
      </c>
      <c r="I43" s="327" t="str">
        <f t="shared" si="1"/>
        <v>IJM</v>
      </c>
      <c r="J43" s="271" t="s">
        <v>136</v>
      </c>
      <c r="K43" s="382">
        <f t="shared" ref="K43:P43" si="28">(K$37-K$34-K$35-K$36)*-$T$13</f>
        <v>0</v>
      </c>
      <c r="L43" s="382">
        <f t="shared" si="28"/>
        <v>0</v>
      </c>
      <c r="M43" s="382">
        <f t="shared" si="28"/>
        <v>0</v>
      </c>
      <c r="N43" s="386">
        <f t="shared" si="28"/>
        <v>0</v>
      </c>
      <c r="O43" s="382">
        <f t="shared" si="28"/>
        <v>0</v>
      </c>
      <c r="P43" s="383">
        <f t="shared" si="28"/>
        <v>0</v>
      </c>
      <c r="Q43" s="240">
        <f t="shared" si="22"/>
        <v>0</v>
      </c>
      <c r="R43" s="65"/>
      <c r="S43" s="488"/>
      <c r="T43" s="488"/>
      <c r="U43" s="488"/>
      <c r="V43" s="65"/>
      <c r="W43" s="65"/>
      <c r="X43" s="101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245"/>
    </row>
    <row r="44" spans="1:37" s="2" customFormat="1" ht="15" customHeight="1" x14ac:dyDescent="0.25">
      <c r="A44" s="312" t="str">
        <f>IF(T16&gt;0.01%,(CONCATENATE("LPP ",T16*100,"%")),IF(T15&lt;0.01,"LPP",(CONCATENATE("LPP ","CHF ",T15))))</f>
        <v>LPP</v>
      </c>
      <c r="B44" s="271" t="s">
        <v>136</v>
      </c>
      <c r="C44" s="382">
        <f t="shared" ref="C44:H44" si="29">IF(OR(C$39=0,C$67="oui",DATEDIF($F$7,$A$21,"Y")&lt;18),0,IF($T$16&gt;0.1%,-$T$16*C$39,-$T$15))</f>
        <v>0</v>
      </c>
      <c r="D44" s="382">
        <f t="shared" si="29"/>
        <v>0</v>
      </c>
      <c r="E44" s="382">
        <f t="shared" si="29"/>
        <v>0</v>
      </c>
      <c r="F44" s="382">
        <f t="shared" si="29"/>
        <v>0</v>
      </c>
      <c r="G44" s="382">
        <f t="shared" si="29"/>
        <v>0</v>
      </c>
      <c r="H44" s="383">
        <f t="shared" si="29"/>
        <v>0</v>
      </c>
      <c r="I44" s="327" t="str">
        <f t="shared" si="1"/>
        <v>LPP</v>
      </c>
      <c r="J44" s="271" t="s">
        <v>136</v>
      </c>
      <c r="K44" s="382">
        <f t="shared" ref="K44:P44" si="30">IF(OR(K$39=0,K$67="oui",DATEDIF($F$7,$A$21,"Y")&lt;18),0,IF($T$16&gt;0.1%,-$T$16*K$39,-$T$15))</f>
        <v>0</v>
      </c>
      <c r="L44" s="382">
        <f t="shared" si="30"/>
        <v>0</v>
      </c>
      <c r="M44" s="382">
        <f t="shared" si="30"/>
        <v>0</v>
      </c>
      <c r="N44" s="382">
        <f t="shared" si="30"/>
        <v>0</v>
      </c>
      <c r="O44" s="382">
        <f t="shared" si="30"/>
        <v>0</v>
      </c>
      <c r="P44" s="383">
        <f t="shared" si="30"/>
        <v>0</v>
      </c>
      <c r="Q44" s="240">
        <f t="shared" si="22"/>
        <v>0</v>
      </c>
      <c r="R44" s="65"/>
      <c r="S44" s="65"/>
      <c r="T44" s="65"/>
      <c r="U44" s="65"/>
      <c r="V44" s="65"/>
      <c r="W44" s="101"/>
      <c r="X44" s="59"/>
      <c r="Y44" s="59"/>
      <c r="Z44" s="59"/>
      <c r="AA44" s="59"/>
      <c r="AB44" s="59"/>
      <c r="AC44" s="59"/>
      <c r="AD44" s="59"/>
      <c r="AE44" s="59"/>
    </row>
    <row r="45" spans="1:37" s="2" customFormat="1" ht="15" customHeight="1" x14ac:dyDescent="0.25">
      <c r="A45" s="312" t="str">
        <f>IF(G13="à choisir","",IF(OR(Y9&lt;5%,G13="ordinaire",)," ",(CONCATENATE("Impôt selon LTN ",Y9*100,"%"))))</f>
        <v/>
      </c>
      <c r="B45" s="270" t="str">
        <f>IF(A45="Impôt selon LTN 5%","CHF"," ")</f>
        <v xml:space="preserve"> </v>
      </c>
      <c r="C45" s="382">
        <f t="shared" ref="C45:H45" si="31">IF(C39+C38=0,0,IF(C$67="no",C39*-$Y$9,IF(AND(C38&gt;1),(C39+C38)*-$Y$9,C39*-$Y$9)))</f>
        <v>0</v>
      </c>
      <c r="D45" s="382">
        <f t="shared" si="31"/>
        <v>0</v>
      </c>
      <c r="E45" s="382">
        <f t="shared" si="31"/>
        <v>0</v>
      </c>
      <c r="F45" s="382">
        <f t="shared" si="31"/>
        <v>0</v>
      </c>
      <c r="G45" s="382">
        <f t="shared" si="31"/>
        <v>0</v>
      </c>
      <c r="H45" s="383">
        <f t="shared" si="31"/>
        <v>0</v>
      </c>
      <c r="I45" s="312" t="str">
        <f t="shared" si="1"/>
        <v/>
      </c>
      <c r="J45" s="270" t="str">
        <f>IF(I45="QST gem. BGSA 5%","CHF"," ")</f>
        <v xml:space="preserve"> </v>
      </c>
      <c r="K45" s="382">
        <f t="shared" ref="K45:P45" si="32">IF(K39+K38=0,0,IF(K$67="no",K39*-$Y$9,IF(AND(K38&gt;1),(K39+K38)*-$Y$9,K39*-$Y$9)))</f>
        <v>0</v>
      </c>
      <c r="L45" s="382">
        <f t="shared" si="32"/>
        <v>0</v>
      </c>
      <c r="M45" s="382">
        <f t="shared" si="32"/>
        <v>0</v>
      </c>
      <c r="N45" s="382">
        <f t="shared" si="32"/>
        <v>0</v>
      </c>
      <c r="O45" s="382">
        <f t="shared" si="32"/>
        <v>0</v>
      </c>
      <c r="P45" s="383">
        <f t="shared" si="32"/>
        <v>0</v>
      </c>
      <c r="Q45" s="304">
        <f>ROUND((SUM(C45:H45)+SUM(K45:P45))*20,0)/20</f>
        <v>0</v>
      </c>
      <c r="R45" s="65"/>
      <c r="S45" s="65"/>
      <c r="T45" s="65"/>
      <c r="U45" s="65"/>
      <c r="V45" s="65"/>
      <c r="W45" s="79">
        <f>SUM(W21:W43)</f>
        <v>0</v>
      </c>
      <c r="X45" s="58"/>
      <c r="Y45" s="59"/>
      <c r="Z45" s="59"/>
      <c r="AA45" s="59"/>
      <c r="AB45" s="59"/>
      <c r="AC45" s="59"/>
      <c r="AD45" s="59"/>
      <c r="AE45" s="59"/>
    </row>
    <row r="46" spans="1:37" s="2" customFormat="1" ht="15" customHeight="1" x14ac:dyDescent="0.25">
      <c r="A46" s="312" t="str">
        <f>IF(G13="ordinaire","Impôt à la source","")</f>
        <v/>
      </c>
      <c r="B46" s="270" t="str">
        <f>IF(A46="Impôt à la source","CHF"," ")</f>
        <v xml:space="preserve"> </v>
      </c>
      <c r="C46" s="382"/>
      <c r="D46" s="382"/>
      <c r="E46" s="382"/>
      <c r="F46" s="382"/>
      <c r="G46" s="382"/>
      <c r="H46" s="385"/>
      <c r="I46" s="327" t="str">
        <f t="shared" si="1"/>
        <v/>
      </c>
      <c r="J46" s="270" t="str">
        <f>IF(I46="QST","CHF"," ")</f>
        <v xml:space="preserve"> </v>
      </c>
      <c r="K46" s="384"/>
      <c r="L46" s="384"/>
      <c r="M46" s="384"/>
      <c r="N46" s="386"/>
      <c r="O46" s="384"/>
      <c r="P46" s="385"/>
      <c r="Q46" s="70">
        <f t="shared" si="22"/>
        <v>0</v>
      </c>
      <c r="R46" s="65"/>
      <c r="S46" s="65"/>
      <c r="T46" s="65"/>
      <c r="U46" s="65"/>
      <c r="V46" s="65"/>
      <c r="W46" s="101"/>
      <c r="X46" s="59"/>
      <c r="Y46" s="59"/>
      <c r="Z46" s="59"/>
      <c r="AA46" s="59"/>
      <c r="AB46" s="59"/>
      <c r="AC46" s="59"/>
      <c r="AD46" s="59"/>
      <c r="AE46" s="59"/>
    </row>
    <row r="47" spans="1:37" s="2" customFormat="1" ht="15" customHeight="1" x14ac:dyDescent="0.25">
      <c r="A47" s="312" t="s">
        <v>145</v>
      </c>
      <c r="B47" s="271" t="s">
        <v>136</v>
      </c>
      <c r="C47" s="382"/>
      <c r="D47" s="384"/>
      <c r="E47" s="384"/>
      <c r="F47" s="384"/>
      <c r="G47" s="384"/>
      <c r="H47" s="385"/>
      <c r="I47" s="327" t="str">
        <f t="shared" si="1"/>
        <v>Frais effectifs</v>
      </c>
      <c r="J47" s="271" t="s">
        <v>136</v>
      </c>
      <c r="K47" s="384"/>
      <c r="L47" s="384"/>
      <c r="M47" s="384"/>
      <c r="N47" s="386"/>
      <c r="O47" s="384"/>
      <c r="P47" s="385"/>
      <c r="Q47" s="70">
        <f t="shared" si="22"/>
        <v>0</v>
      </c>
      <c r="R47" s="172"/>
      <c r="S47" s="65"/>
      <c r="T47" s="65"/>
      <c r="U47" s="65"/>
      <c r="V47" s="172"/>
      <c r="W47" s="101"/>
      <c r="X47" s="58"/>
      <c r="Y47" s="59"/>
      <c r="Z47" s="59"/>
      <c r="AA47" s="59"/>
      <c r="AB47" s="59"/>
      <c r="AC47" s="59"/>
      <c r="AD47" s="59"/>
      <c r="AE47" s="59"/>
    </row>
    <row r="48" spans="1:37" s="2" customFormat="1" ht="15" customHeight="1" x14ac:dyDescent="0.25">
      <c r="A48" s="316" t="s">
        <v>135</v>
      </c>
      <c r="B48" s="275" t="s">
        <v>136</v>
      </c>
      <c r="C48" s="382">
        <f>-C31</f>
        <v>0</v>
      </c>
      <c r="D48" s="384">
        <f t="shared" ref="D48:H48" si="33">-D31</f>
        <v>0</v>
      </c>
      <c r="E48" s="384">
        <f t="shared" si="33"/>
        <v>0</v>
      </c>
      <c r="F48" s="384">
        <f t="shared" si="33"/>
        <v>0</v>
      </c>
      <c r="G48" s="384">
        <f t="shared" si="33"/>
        <v>0</v>
      </c>
      <c r="H48" s="385">
        <f t="shared" si="33"/>
        <v>0</v>
      </c>
      <c r="I48" s="328" t="str">
        <f t="shared" si="1"/>
        <v>Repas &amp; logement</v>
      </c>
      <c r="J48" s="275" t="s">
        <v>136</v>
      </c>
      <c r="K48" s="384">
        <f t="shared" ref="K48:P48" si="34">-K31</f>
        <v>0</v>
      </c>
      <c r="L48" s="384">
        <f t="shared" si="34"/>
        <v>0</v>
      </c>
      <c r="M48" s="384">
        <f t="shared" si="34"/>
        <v>0</v>
      </c>
      <c r="N48" s="386">
        <f t="shared" si="34"/>
        <v>0</v>
      </c>
      <c r="O48" s="384">
        <f t="shared" si="34"/>
        <v>0</v>
      </c>
      <c r="P48" s="385">
        <f t="shared" si="34"/>
        <v>0</v>
      </c>
      <c r="Q48" s="241">
        <f t="shared" si="22"/>
        <v>0</v>
      </c>
      <c r="R48" s="57"/>
      <c r="S48" s="172"/>
      <c r="T48" s="172"/>
      <c r="U48" s="172"/>
      <c r="V48" s="57"/>
      <c r="W48" s="101"/>
      <c r="X48" s="58"/>
      <c r="Y48" s="59"/>
      <c r="Z48" s="59"/>
      <c r="AA48" s="59"/>
      <c r="AB48" s="59"/>
      <c r="AC48" s="59"/>
      <c r="AD48" s="59"/>
      <c r="AE48" s="59"/>
    </row>
    <row r="49" spans="1:31" s="2" customFormat="1" ht="15" customHeight="1" x14ac:dyDescent="0.25">
      <c r="A49" s="335" t="s">
        <v>146</v>
      </c>
      <c r="B49" s="336" t="s">
        <v>136</v>
      </c>
      <c r="C49" s="331">
        <f>MROUND(C37+(SUM(C40:C46)+C47+C48),0.05)</f>
        <v>0</v>
      </c>
      <c r="D49" s="331">
        <f t="shared" ref="D49:H49" si="35">MROUND(D37+(SUM(D40:D46)+D47+D48),0.05)</f>
        <v>0</v>
      </c>
      <c r="E49" s="331">
        <f t="shared" si="35"/>
        <v>0</v>
      </c>
      <c r="F49" s="331">
        <f t="shared" si="35"/>
        <v>0</v>
      </c>
      <c r="G49" s="331">
        <f t="shared" si="35"/>
        <v>0</v>
      </c>
      <c r="H49" s="333">
        <f t="shared" si="35"/>
        <v>0</v>
      </c>
      <c r="I49" s="335" t="str">
        <f t="shared" si="1"/>
        <v>Salaire net</v>
      </c>
      <c r="J49" s="336" t="s">
        <v>136</v>
      </c>
      <c r="K49" s="331">
        <f t="shared" ref="K49:P49" si="36">MROUND(K37+(SUM(K40:K46)+K47+K48),0.05)</f>
        <v>0</v>
      </c>
      <c r="L49" s="331">
        <f t="shared" si="36"/>
        <v>0</v>
      </c>
      <c r="M49" s="331">
        <f t="shared" si="36"/>
        <v>0</v>
      </c>
      <c r="N49" s="331">
        <f t="shared" si="36"/>
        <v>0</v>
      </c>
      <c r="O49" s="331">
        <f t="shared" si="36"/>
        <v>0</v>
      </c>
      <c r="P49" s="333">
        <f t="shared" si="36"/>
        <v>0</v>
      </c>
      <c r="Q49" s="242">
        <f>SUM(C49:H49)+SUM(K49:P49)</f>
        <v>0</v>
      </c>
      <c r="R49" s="57"/>
      <c r="S49" s="57"/>
      <c r="T49" s="57"/>
      <c r="U49" s="57"/>
      <c r="V49" s="57"/>
      <c r="W49" s="101"/>
      <c r="X49" s="58"/>
      <c r="Y49" s="59"/>
      <c r="Z49" s="59"/>
      <c r="AA49" s="59"/>
      <c r="AB49" s="59"/>
      <c r="AC49" s="59"/>
      <c r="AD49" s="59"/>
      <c r="AE49" s="59"/>
    </row>
    <row r="50" spans="1:31" s="2" customFormat="1" ht="15" customHeight="1" x14ac:dyDescent="0.25">
      <c r="A50" s="337" t="s">
        <v>147</v>
      </c>
      <c r="B50" s="330" t="s">
        <v>136</v>
      </c>
      <c r="C50" s="382"/>
      <c r="D50" s="382"/>
      <c r="E50" s="382"/>
      <c r="F50" s="382"/>
      <c r="G50" s="382"/>
      <c r="H50" s="383"/>
      <c r="I50" s="337" t="str">
        <f t="shared" si="1"/>
        <v>Salaire net payé</v>
      </c>
      <c r="J50" s="330" t="s">
        <v>136</v>
      </c>
      <c r="K50" s="382"/>
      <c r="L50" s="382"/>
      <c r="M50" s="382"/>
      <c r="N50" s="382"/>
      <c r="O50" s="382"/>
      <c r="P50" s="383"/>
      <c r="Q50" s="309">
        <f>SUM(C50:H50)+SUM(K50:P50)</f>
        <v>0</v>
      </c>
      <c r="R50" s="57"/>
      <c r="S50" s="57"/>
      <c r="T50" s="57"/>
      <c r="U50" s="57"/>
      <c r="V50" s="57"/>
      <c r="W50" s="101"/>
      <c r="X50" s="58"/>
      <c r="Y50" s="59"/>
      <c r="Z50" s="59"/>
      <c r="AA50" s="59"/>
      <c r="AB50" s="59"/>
      <c r="AC50" s="59"/>
      <c r="AD50" s="59"/>
      <c r="AE50" s="59"/>
    </row>
    <row r="51" spans="1:31" s="2" customFormat="1" ht="15" customHeight="1" x14ac:dyDescent="0.25">
      <c r="A51" s="338" t="s">
        <v>148</v>
      </c>
      <c r="B51" s="339" t="s">
        <v>136</v>
      </c>
      <c r="C51" s="332">
        <f>IF(C50=0,0,C50-C49)</f>
        <v>0</v>
      </c>
      <c r="D51" s="332">
        <f t="shared" ref="D51:H51" si="37">IF(D50=0,0,D50-D49)</f>
        <v>0</v>
      </c>
      <c r="E51" s="332">
        <f t="shared" si="37"/>
        <v>0</v>
      </c>
      <c r="F51" s="332">
        <f t="shared" si="37"/>
        <v>0</v>
      </c>
      <c r="G51" s="332">
        <f t="shared" si="37"/>
        <v>0</v>
      </c>
      <c r="H51" s="334">
        <f t="shared" si="37"/>
        <v>0</v>
      </c>
      <c r="I51" s="338" t="str">
        <f t="shared" si="1"/>
        <v>Différence</v>
      </c>
      <c r="J51" s="339" t="s">
        <v>136</v>
      </c>
      <c r="K51" s="332">
        <f t="shared" ref="K51:P51" si="38">IF(K50=0,0,K50-K49)</f>
        <v>0</v>
      </c>
      <c r="L51" s="332">
        <f t="shared" si="38"/>
        <v>0</v>
      </c>
      <c r="M51" s="332">
        <f t="shared" si="38"/>
        <v>0</v>
      </c>
      <c r="N51" s="332">
        <f t="shared" si="38"/>
        <v>0</v>
      </c>
      <c r="O51" s="332">
        <f t="shared" si="38"/>
        <v>0</v>
      </c>
      <c r="P51" s="334">
        <f t="shared" si="38"/>
        <v>0</v>
      </c>
      <c r="Q51" s="309">
        <f>SUM(C51:H51)+SUM(K51:P51)</f>
        <v>0</v>
      </c>
      <c r="R51" s="57"/>
      <c r="S51" s="57"/>
      <c r="T51" s="57"/>
      <c r="U51" s="57"/>
      <c r="V51" s="57"/>
      <c r="W51" s="101"/>
      <c r="X51" s="58"/>
      <c r="Y51" s="59"/>
      <c r="Z51" s="59"/>
      <c r="AA51" s="59"/>
      <c r="AB51" s="59"/>
      <c r="AC51" s="59"/>
      <c r="AD51" s="59"/>
      <c r="AE51" s="59"/>
    </row>
    <row r="52" spans="1:31" s="2" customFormat="1" ht="15" customHeight="1" x14ac:dyDescent="0.25">
      <c r="A52" s="71" t="s">
        <v>149</v>
      </c>
      <c r="B52" s="326"/>
      <c r="C52" s="458"/>
      <c r="D52" s="458"/>
      <c r="E52" s="458"/>
      <c r="F52" s="458"/>
      <c r="G52" s="458"/>
      <c r="H52" s="462"/>
      <c r="I52" s="71" t="str">
        <f t="shared" si="1"/>
        <v>Remarques</v>
      </c>
      <c r="J52" s="326"/>
      <c r="K52" s="458"/>
      <c r="L52" s="458"/>
      <c r="M52" s="458"/>
      <c r="N52" s="458"/>
      <c r="O52" s="464"/>
      <c r="P52" s="462"/>
      <c r="Q52" s="72">
        <f t="shared" ref="Q52" si="39">SUM(C52:H52)+SUM(K52:P52)</f>
        <v>0</v>
      </c>
      <c r="R52" s="65"/>
      <c r="S52" s="57"/>
      <c r="T52" s="57"/>
      <c r="U52" s="57"/>
      <c r="V52" s="65"/>
      <c r="W52" s="101"/>
      <c r="X52" s="59"/>
      <c r="Y52" s="59"/>
      <c r="Z52" s="59"/>
      <c r="AA52" s="59"/>
      <c r="AB52" s="59"/>
      <c r="AC52" s="59"/>
      <c r="AD52" s="59"/>
      <c r="AE52" s="59"/>
    </row>
    <row r="53" spans="1:31" s="6" customFormat="1" ht="15" customHeight="1" thickBot="1" x14ac:dyDescent="0.3">
      <c r="A53" s="317"/>
      <c r="B53" s="277"/>
      <c r="C53" s="459"/>
      <c r="D53" s="459"/>
      <c r="E53" s="459"/>
      <c r="F53" s="459"/>
      <c r="G53" s="459"/>
      <c r="H53" s="463"/>
      <c r="I53" s="317"/>
      <c r="J53" s="277"/>
      <c r="K53" s="459"/>
      <c r="L53" s="459"/>
      <c r="M53" s="459"/>
      <c r="N53" s="459"/>
      <c r="O53" s="465"/>
      <c r="P53" s="463"/>
      <c r="Q53" s="73"/>
      <c r="R53" s="79"/>
      <c r="S53" s="65"/>
      <c r="T53" s="65"/>
      <c r="U53" s="65"/>
      <c r="V53" s="79"/>
      <c r="W53" s="101"/>
      <c r="X53" s="59"/>
      <c r="Y53" s="59"/>
      <c r="Z53" s="59"/>
      <c r="AA53" s="59"/>
      <c r="AB53" s="59"/>
      <c r="AC53" s="59"/>
      <c r="AD53" s="64"/>
      <c r="AE53" s="64"/>
    </row>
    <row r="54" spans="1:31" s="2" customFormat="1" ht="5.15" customHeight="1" thickBot="1" x14ac:dyDescent="0.35">
      <c r="A54" s="53"/>
      <c r="B54" s="53"/>
      <c r="C54" s="74"/>
      <c r="D54" s="54"/>
      <c r="E54" s="55"/>
      <c r="F54" s="54"/>
      <c r="G54" s="54"/>
      <c r="H54" s="56"/>
      <c r="I54" s="53"/>
      <c r="J54" s="53"/>
      <c r="K54" s="56"/>
      <c r="L54" s="56"/>
      <c r="M54" s="56"/>
      <c r="N54" s="74"/>
      <c r="O54" s="54"/>
      <c r="P54" s="54"/>
      <c r="Q54" s="54">
        <f>SUM(C54:H54)+SUM(K54:P54)</f>
        <v>0</v>
      </c>
      <c r="R54" s="57"/>
      <c r="S54" s="79"/>
      <c r="T54" s="79"/>
      <c r="U54" s="79"/>
      <c r="V54" s="57"/>
      <c r="W54" s="102"/>
      <c r="X54" s="63"/>
      <c r="Y54" s="64"/>
      <c r="Z54" s="64"/>
      <c r="AA54" s="64"/>
      <c r="AB54" s="64"/>
      <c r="AC54" s="64"/>
      <c r="AD54" s="59"/>
      <c r="AE54" s="59"/>
    </row>
    <row r="55" spans="1:31" s="2" customFormat="1" ht="15" customHeight="1" x14ac:dyDescent="0.25">
      <c r="A55" s="318" t="s">
        <v>150</v>
      </c>
      <c r="B55" s="278"/>
      <c r="C55" s="85">
        <f t="shared" ref="C55:H55" si="40">C21</f>
        <v>46023</v>
      </c>
      <c r="D55" s="86">
        <f t="shared" si="40"/>
        <v>46054</v>
      </c>
      <c r="E55" s="86">
        <f t="shared" si="40"/>
        <v>46082</v>
      </c>
      <c r="F55" s="86">
        <f t="shared" si="40"/>
        <v>46113</v>
      </c>
      <c r="G55" s="86">
        <f t="shared" si="40"/>
        <v>46143</v>
      </c>
      <c r="H55" s="87">
        <f t="shared" si="40"/>
        <v>46174</v>
      </c>
      <c r="I55" s="318" t="str">
        <f>A55</f>
        <v>Données pour AssistMe:</v>
      </c>
      <c r="J55" s="278"/>
      <c r="K55" s="86">
        <f t="shared" ref="K55:P55" si="41">K21</f>
        <v>46204</v>
      </c>
      <c r="L55" s="86">
        <f t="shared" si="41"/>
        <v>46235</v>
      </c>
      <c r="M55" s="86">
        <f t="shared" si="41"/>
        <v>46266</v>
      </c>
      <c r="N55" s="88">
        <f t="shared" si="41"/>
        <v>46296</v>
      </c>
      <c r="O55" s="86">
        <f t="shared" si="41"/>
        <v>46327</v>
      </c>
      <c r="P55" s="87">
        <f t="shared" si="41"/>
        <v>46357</v>
      </c>
      <c r="Q55" s="229" t="s">
        <v>134</v>
      </c>
      <c r="R55" s="57"/>
      <c r="S55" s="57"/>
      <c r="T55" s="57"/>
      <c r="U55" s="57"/>
      <c r="V55" s="57"/>
      <c r="W55" s="101"/>
      <c r="X55" s="59"/>
      <c r="Y55" s="59"/>
      <c r="Z55" s="59"/>
      <c r="AA55" s="59"/>
      <c r="AB55" s="59"/>
      <c r="AC55" s="59"/>
      <c r="AD55" s="59"/>
      <c r="AE55" s="59"/>
    </row>
    <row r="56" spans="1:31" s="2" customFormat="1" ht="15" customHeight="1" x14ac:dyDescent="0.25">
      <c r="A56" s="319" t="s">
        <v>151</v>
      </c>
      <c r="B56" s="279" t="s">
        <v>152</v>
      </c>
      <c r="C56" s="292" t="str">
        <f t="shared" ref="C56:H56" si="42">IF($C$16="Salaire horaire",IF($M$8="","",(C25*$P$10)+(C24*$P$7)+C26+C28+(C32+C33)/(IF($M$13&gt;1,((($M$8+$M$13)/2)),$M$8))),"Salaire mensuel")</f>
        <v>Salaire mensuel</v>
      </c>
      <c r="D56" s="292" t="str">
        <f t="shared" si="42"/>
        <v>Salaire mensuel</v>
      </c>
      <c r="E56" s="292" t="str">
        <f t="shared" si="42"/>
        <v>Salaire mensuel</v>
      </c>
      <c r="F56" s="292" t="str">
        <f t="shared" si="42"/>
        <v>Salaire mensuel</v>
      </c>
      <c r="G56" s="292" t="str">
        <f t="shared" si="42"/>
        <v>Salaire mensuel</v>
      </c>
      <c r="H56" s="293" t="str">
        <f t="shared" si="42"/>
        <v>Salaire mensuel</v>
      </c>
      <c r="I56" s="320" t="str">
        <f>A56</f>
        <v>Nombre d'heures</v>
      </c>
      <c r="J56" s="279" t="s">
        <v>153</v>
      </c>
      <c r="K56" s="292" t="str">
        <f t="shared" ref="K56:P56" si="43">IF($C$16="Salaire horaire",IF($M$8="","",(K25*$P$10)+(K24*$P$7)+K26+K28+(K32+K33)/(IF($M$13&gt;1,((($M$8+$M$13)/2)),$M$8))),"Salaire mensuel")</f>
        <v>Salaire mensuel</v>
      </c>
      <c r="L56" s="292" t="str">
        <f t="shared" si="43"/>
        <v>Salaire mensuel</v>
      </c>
      <c r="M56" s="292" t="str">
        <f t="shared" si="43"/>
        <v>Salaire mensuel</v>
      </c>
      <c r="N56" s="292" t="str">
        <f t="shared" si="43"/>
        <v>Salaire mensuel</v>
      </c>
      <c r="O56" s="292" t="str">
        <f t="shared" si="43"/>
        <v>Salaire mensuel</v>
      </c>
      <c r="P56" s="293" t="str">
        <f t="shared" si="43"/>
        <v>Salaire mensuel</v>
      </c>
      <c r="Q56" s="233">
        <f>SUM(C56:H56)+SUM(K56:P56)</f>
        <v>0</v>
      </c>
      <c r="R56" s="57"/>
      <c r="S56" s="57"/>
      <c r="T56" s="57"/>
      <c r="U56" s="57"/>
      <c r="V56" s="57"/>
      <c r="W56" s="101"/>
      <c r="X56" s="59"/>
      <c r="Y56" s="59"/>
      <c r="Z56" s="59"/>
      <c r="AA56" s="59"/>
      <c r="AB56" s="59"/>
      <c r="AC56" s="59"/>
      <c r="AD56" s="59"/>
      <c r="AE56" s="59"/>
    </row>
    <row r="57" spans="1:31" s="2" customFormat="1" ht="15" customHeight="1" x14ac:dyDescent="0.25">
      <c r="A57" s="320" t="s">
        <v>146</v>
      </c>
      <c r="B57" s="280" t="s">
        <v>136</v>
      </c>
      <c r="C57" s="294">
        <f>C49-C48-C47-C46-C36-C35-C34-C31</f>
        <v>0</v>
      </c>
      <c r="D57" s="294">
        <f t="shared" ref="D57:H57" si="44">D49-D48-D47-D46-D36-D35-D34-D31</f>
        <v>0</v>
      </c>
      <c r="E57" s="294">
        <f t="shared" si="44"/>
        <v>0</v>
      </c>
      <c r="F57" s="294">
        <f t="shared" si="44"/>
        <v>0</v>
      </c>
      <c r="G57" s="294">
        <f t="shared" si="44"/>
        <v>0</v>
      </c>
      <c r="H57" s="293">
        <f t="shared" si="44"/>
        <v>0</v>
      </c>
      <c r="I57" s="320" t="str">
        <f>A57</f>
        <v>Salaire net</v>
      </c>
      <c r="J57" s="280" t="s">
        <v>136</v>
      </c>
      <c r="K57" s="60">
        <f t="shared" ref="K57:P57" si="45">K49-K48-K47-K46-K36-K35-K34-K31</f>
        <v>0</v>
      </c>
      <c r="L57" s="60">
        <f t="shared" si="45"/>
        <v>0</v>
      </c>
      <c r="M57" s="60">
        <f t="shared" si="45"/>
        <v>0</v>
      </c>
      <c r="N57" s="301">
        <f t="shared" si="45"/>
        <v>0</v>
      </c>
      <c r="O57" s="60">
        <f t="shared" si="45"/>
        <v>0</v>
      </c>
      <c r="P57" s="61">
        <f t="shared" si="45"/>
        <v>0</v>
      </c>
      <c r="Q57" s="61">
        <f>SUM(C57:H57)+SUM(K57:P57)</f>
        <v>0</v>
      </c>
      <c r="R57" s="57"/>
      <c r="S57" s="57"/>
      <c r="T57" s="57"/>
      <c r="U57" s="57"/>
      <c r="V57" s="57"/>
      <c r="W57" s="101"/>
      <c r="X57" s="58"/>
      <c r="Y57" s="59"/>
      <c r="Z57" s="59"/>
      <c r="AA57" s="59"/>
      <c r="AB57" s="59"/>
      <c r="AC57" s="59"/>
      <c r="AD57" s="59"/>
      <c r="AE57" s="59"/>
    </row>
    <row r="58" spans="1:31" s="2" customFormat="1" ht="15" customHeight="1" thickBot="1" x14ac:dyDescent="0.3">
      <c r="A58" s="321" t="s">
        <v>154</v>
      </c>
      <c r="B58" s="281" t="s">
        <v>136</v>
      </c>
      <c r="C58" s="295">
        <f>IF(C32&gt;0.1,C32-(C32*(SUM($T$8:$T$14)+$Y$9+$T$16))-(C32/IF(C39=0,1,C39)*-C44),IF(C32&lt;-0.1,C32-(C32*(SUM($T$8:$T$14)+$Y$9+$T$16))-(C32/IF(C39=0,1,C39)*-C44),0))</f>
        <v>0</v>
      </c>
      <c r="D58" s="295">
        <f t="shared" ref="D58:H58" si="46">IF(D32&gt;0.1,D32-(D32*(SUM($T$8:$T$14)+$Y$9+$T$16))-(D32/IF(D39=0,1,D39)*-D44),IF(D32&lt;-0.1,D32-(D32*(SUM($T$8:$T$14)+$Y$9+$T$16))-(D32/IF(D39=0,1,D39)*-D44),0))</f>
        <v>0</v>
      </c>
      <c r="E58" s="295">
        <f t="shared" si="46"/>
        <v>0</v>
      </c>
      <c r="F58" s="295">
        <f t="shared" si="46"/>
        <v>0</v>
      </c>
      <c r="G58" s="295">
        <f t="shared" si="46"/>
        <v>0</v>
      </c>
      <c r="H58" s="296">
        <f t="shared" si="46"/>
        <v>0</v>
      </c>
      <c r="I58" s="321" t="str">
        <f>A58</f>
        <v>Dont oblig. de verser le salaire (art. 324a CO)</v>
      </c>
      <c r="J58" s="281" t="s">
        <v>136</v>
      </c>
      <c r="K58" s="295">
        <f t="shared" ref="K58:P58" si="47">IF(K32&gt;0.1,K32-(K32*(SUM($T$8:$T$14)+$Y$9+$T$16))-(K32/IF(K39=0,1,K39)*-K44),IF(K32&lt;-0.1,K32-(K32*(SUM($T$8:$T$14)+$Y$9+$T$16))-(K32/IF(K39=0,1,K39)*-K44),0))</f>
        <v>0</v>
      </c>
      <c r="L58" s="295">
        <f t="shared" si="47"/>
        <v>0</v>
      </c>
      <c r="M58" s="295">
        <f t="shared" si="47"/>
        <v>0</v>
      </c>
      <c r="N58" s="295">
        <f t="shared" si="47"/>
        <v>0</v>
      </c>
      <c r="O58" s="295">
        <f t="shared" si="47"/>
        <v>0</v>
      </c>
      <c r="P58" s="296">
        <f t="shared" si="47"/>
        <v>0</v>
      </c>
      <c r="Q58" s="84">
        <f>SUM(C58:H58)+SUM(K58:P58)</f>
        <v>0</v>
      </c>
      <c r="R58" s="57"/>
      <c r="S58" s="57"/>
      <c r="T58" s="57"/>
      <c r="U58" s="57"/>
      <c r="V58" s="57"/>
      <c r="W58" s="101"/>
      <c r="X58" s="58"/>
      <c r="Y58" s="59"/>
      <c r="Z58" s="59"/>
      <c r="AA58" s="59"/>
      <c r="AB58" s="59"/>
      <c r="AC58" s="59"/>
      <c r="AD58" s="59"/>
      <c r="AE58" s="59"/>
    </row>
    <row r="59" spans="1:31" s="6" customFormat="1" ht="5.15" customHeight="1" thickBot="1" x14ac:dyDescent="0.3">
      <c r="A59" s="2"/>
      <c r="B59" s="2"/>
      <c r="C59" s="65"/>
      <c r="D59" s="57"/>
      <c r="E59" s="66"/>
      <c r="F59" s="57"/>
      <c r="G59" s="57"/>
      <c r="H59" s="67"/>
      <c r="I59" s="2"/>
      <c r="J59" s="2"/>
      <c r="K59" s="67"/>
      <c r="L59" s="67"/>
      <c r="M59" s="67"/>
      <c r="N59" s="65"/>
      <c r="O59" s="57"/>
      <c r="P59" s="57"/>
      <c r="Q59" s="57"/>
      <c r="R59" s="62"/>
      <c r="S59" s="57"/>
      <c r="T59" s="57"/>
      <c r="U59" s="57"/>
      <c r="V59" s="62"/>
      <c r="W59" s="101"/>
      <c r="X59" s="58"/>
      <c r="Y59" s="59"/>
      <c r="Z59" s="59"/>
      <c r="AA59" s="59"/>
      <c r="AB59" s="59"/>
      <c r="AC59" s="59"/>
      <c r="AD59" s="64"/>
      <c r="AE59" s="64"/>
    </row>
    <row r="60" spans="1:31" s="6" customFormat="1" ht="15" customHeight="1" x14ac:dyDescent="0.3">
      <c r="A60" s="322" t="str">
        <f>IF(G12="oui","Contribution d'assistance de l'AI","")</f>
        <v/>
      </c>
      <c r="B60" s="282"/>
      <c r="C60" s="226" t="str">
        <f>IF($G$12="oui",C21,"")</f>
        <v/>
      </c>
      <c r="D60" s="226" t="str">
        <f t="shared" ref="D60:H60" si="48">IF($G$12="oui",D21,"")</f>
        <v/>
      </c>
      <c r="E60" s="226" t="str">
        <f t="shared" si="48"/>
        <v/>
      </c>
      <c r="F60" s="226" t="str">
        <f t="shared" si="48"/>
        <v/>
      </c>
      <c r="G60" s="226" t="str">
        <f t="shared" si="48"/>
        <v/>
      </c>
      <c r="H60" s="227" t="str">
        <f t="shared" si="48"/>
        <v/>
      </c>
      <c r="I60" s="322" t="str">
        <f t="shared" ref="I60:I64" si="49">A60</f>
        <v/>
      </c>
      <c r="J60" s="282"/>
      <c r="K60" s="226" t="str">
        <f>IF($G$12="oui",K21,"")</f>
        <v/>
      </c>
      <c r="L60" s="226" t="str">
        <f t="shared" ref="L60:P60" si="50">IF($G$12="oui",L21,"")</f>
        <v/>
      </c>
      <c r="M60" s="226" t="str">
        <f t="shared" si="50"/>
        <v/>
      </c>
      <c r="N60" s="226" t="str">
        <f t="shared" si="50"/>
        <v/>
      </c>
      <c r="O60" s="226" t="str">
        <f t="shared" si="50"/>
        <v/>
      </c>
      <c r="P60" s="227" t="str">
        <f t="shared" si="50"/>
        <v/>
      </c>
      <c r="Q60" s="230" t="str">
        <f>IF($G$12="Oui","Total","")</f>
        <v/>
      </c>
      <c r="R60" s="62"/>
      <c r="S60" s="62"/>
      <c r="T60" s="62"/>
      <c r="U60" s="62"/>
      <c r="V60" s="62"/>
      <c r="W60" s="102"/>
      <c r="X60" s="63"/>
      <c r="Y60" s="64"/>
      <c r="Z60" s="64"/>
      <c r="AA60" s="64"/>
      <c r="AB60" s="64"/>
      <c r="AC60" s="64"/>
      <c r="AD60" s="64"/>
      <c r="AE60" s="64"/>
    </row>
    <row r="61" spans="1:31" s="2" customFormat="1" ht="15" customHeight="1" x14ac:dyDescent="0.3">
      <c r="A61" s="323" t="str">
        <f>IF(G12="oui","A) Nb. d'heures standard","")</f>
        <v/>
      </c>
      <c r="B61" s="283" t="str">
        <f>IF(G12="oui","h"," ")</f>
        <v xml:space="preserve"> </v>
      </c>
      <c r="C61" s="297" t="str">
        <f>IF($G$12="oui",(IF(DATEDIF($F$7,C$21,"Y")&lt;18,0,C26+C28)),"")</f>
        <v/>
      </c>
      <c r="D61" s="297" t="str">
        <f t="shared" ref="D61:H61" si="51">IF($G$12="oui",(IF(DATEDIF($F$7,D$21,"Y")&lt;18,0,D26+D28)),"")</f>
        <v/>
      </c>
      <c r="E61" s="297" t="str">
        <f t="shared" si="51"/>
        <v/>
      </c>
      <c r="F61" s="297" t="str">
        <f t="shared" si="51"/>
        <v/>
      </c>
      <c r="G61" s="297" t="str">
        <f t="shared" si="51"/>
        <v/>
      </c>
      <c r="H61" s="298" t="str">
        <f t="shared" si="51"/>
        <v/>
      </c>
      <c r="I61" s="324" t="str">
        <f t="shared" si="49"/>
        <v/>
      </c>
      <c r="J61" s="283" t="str">
        <f>B61</f>
        <v xml:space="preserve"> </v>
      </c>
      <c r="K61" s="297" t="str">
        <f>IF($G$12="oui",(IF(DATEDIF($F$7,K$21,"Y")&lt;18,0,K26+K28)),"")</f>
        <v/>
      </c>
      <c r="L61" s="297" t="str">
        <f t="shared" ref="L61:P61" si="52">IF($G$12="oui",(IF(DATEDIF($F$7,L$21,"Y")&lt;18,0,L26+L28)),"")</f>
        <v/>
      </c>
      <c r="M61" s="297" t="str">
        <f t="shared" si="52"/>
        <v/>
      </c>
      <c r="N61" s="297" t="str">
        <f t="shared" si="52"/>
        <v/>
      </c>
      <c r="O61" s="297" t="str">
        <f t="shared" si="52"/>
        <v/>
      </c>
      <c r="P61" s="298" t="str">
        <f t="shared" si="52"/>
        <v/>
      </c>
      <c r="Q61" s="402" t="str">
        <f>IF($G$12="Oui",SUM(C61:H61)+SUM(K61:P61),"")</f>
        <v/>
      </c>
      <c r="R61" s="57"/>
      <c r="S61" s="62"/>
      <c r="T61" s="62"/>
      <c r="U61" s="62"/>
      <c r="V61" s="57"/>
      <c r="W61" s="102"/>
      <c r="X61" s="63"/>
      <c r="Y61" s="64"/>
      <c r="Z61" s="64"/>
      <c r="AA61" s="64"/>
      <c r="AB61" s="64"/>
      <c r="AC61" s="64"/>
      <c r="AD61" s="59"/>
      <c r="AE61" s="59"/>
    </row>
    <row r="62" spans="1:31" s="2" customFormat="1" ht="15" customHeight="1" x14ac:dyDescent="0.25">
      <c r="A62" s="324" t="str">
        <f>IF(G12="oui","B) Nb. d'heures quali B","")</f>
        <v/>
      </c>
      <c r="B62" s="284" t="str">
        <f>IF(G12="oui","h"," ")</f>
        <v xml:space="preserve"> </v>
      </c>
      <c r="C62" s="297"/>
      <c r="D62" s="297"/>
      <c r="E62" s="297"/>
      <c r="F62" s="297"/>
      <c r="G62" s="297"/>
      <c r="H62" s="298"/>
      <c r="I62" s="324" t="str">
        <f t="shared" si="49"/>
        <v/>
      </c>
      <c r="J62" s="284" t="str">
        <f>B62</f>
        <v xml:space="preserve"> </v>
      </c>
      <c r="K62" s="297"/>
      <c r="L62" s="297"/>
      <c r="M62" s="297"/>
      <c r="N62" s="297"/>
      <c r="O62" s="297"/>
      <c r="P62" s="298"/>
      <c r="Q62" s="228" t="str">
        <f>IF($G$12="Oui",SUM(C62:H62)+SUM(K62:P62),"")</f>
        <v/>
      </c>
      <c r="R62" s="57"/>
      <c r="S62" s="57"/>
      <c r="T62" s="57"/>
      <c r="U62" s="57"/>
      <c r="V62" s="57"/>
      <c r="W62" s="101"/>
      <c r="X62" s="58"/>
      <c r="Y62" s="58"/>
      <c r="Z62" s="58"/>
      <c r="AA62" s="58"/>
      <c r="AB62" s="58"/>
      <c r="AC62" s="58"/>
      <c r="AD62" s="58"/>
      <c r="AE62" s="58"/>
    </row>
    <row r="63" spans="1:31" s="2" customFormat="1" ht="15" customHeight="1" x14ac:dyDescent="0.25">
      <c r="A63" s="445" t="str">
        <f>IF($G$12="oui","C) Nb. d'engagements 
de nuit","")</f>
        <v/>
      </c>
      <c r="B63" s="448" t="str">
        <f>IF(G12="oui","Nb."," ")</f>
        <v xml:space="preserve"> </v>
      </c>
      <c r="C63" s="376" t="str">
        <f>IF($G$12="Oui",(IF(DATEDIF($F$7,C$21,"Y")&lt;18,0,C25)),"")</f>
        <v/>
      </c>
      <c r="D63" s="376" t="str">
        <f t="shared" ref="D63:H63" si="53">IF($G$12="Oui",(IF(DATEDIF($F$7,D$21,"Y")&lt;18,0,D25)),"")</f>
        <v/>
      </c>
      <c r="E63" s="376" t="str">
        <f t="shared" si="53"/>
        <v/>
      </c>
      <c r="F63" s="376" t="str">
        <f t="shared" si="53"/>
        <v/>
      </c>
      <c r="G63" s="376" t="str">
        <f t="shared" si="53"/>
        <v/>
      </c>
      <c r="H63" s="377" t="str">
        <f t="shared" si="53"/>
        <v/>
      </c>
      <c r="I63" s="324" t="str">
        <f t="shared" si="49"/>
        <v/>
      </c>
      <c r="J63" s="284" t="str">
        <f>B63</f>
        <v xml:space="preserve"> </v>
      </c>
      <c r="K63" s="376" t="str">
        <f>IF($G$12="Oui",(IF(DATEDIF($F$7,K$21,"Y")&lt;18,0,K25)),"")</f>
        <v/>
      </c>
      <c r="L63" s="376" t="str">
        <f t="shared" ref="L63:P63" si="54">IF($G$12="Oui",(IF(DATEDIF($F$7,L$21,"Y")&lt;18,0,L25)),"")</f>
        <v/>
      </c>
      <c r="M63" s="376" t="str">
        <f t="shared" si="54"/>
        <v/>
      </c>
      <c r="N63" s="376" t="str">
        <f t="shared" si="54"/>
        <v/>
      </c>
      <c r="O63" s="376" t="str">
        <f t="shared" si="54"/>
        <v/>
      </c>
      <c r="P63" s="377" t="str">
        <f t="shared" si="54"/>
        <v/>
      </c>
      <c r="Q63" s="228" t="str">
        <f>IF($G$12="Oui",SUM(C63:H63)+SUM(K63:P63),"")</f>
        <v/>
      </c>
      <c r="R63" s="57"/>
      <c r="S63" s="57"/>
      <c r="T63" s="57"/>
      <c r="U63" s="57"/>
      <c r="V63" s="57"/>
      <c r="W63" s="101"/>
      <c r="X63" s="58"/>
      <c r="Y63" s="58"/>
      <c r="Z63" s="58"/>
      <c r="AA63" s="58"/>
      <c r="AB63" s="58"/>
      <c r="AC63" s="58"/>
      <c r="AD63" s="58"/>
      <c r="AE63" s="58"/>
    </row>
    <row r="64" spans="1:31" s="2" customFormat="1" ht="15" customHeight="1" thickBot="1" x14ac:dyDescent="0.3">
      <c r="A64" s="446" t="str">
        <f>IF(G12="oui","Oblig. de verser le salaire","")</f>
        <v/>
      </c>
      <c r="B64" s="449"/>
      <c r="C64" s="299" t="str">
        <f>IF($G$12="Oui",(IF(DATEDIF($F$7,C$21,"Y")&lt;18,0,(IF(OR(C32&gt;0.1,C33&gt;0.1),"décompter","")))),"")</f>
        <v/>
      </c>
      <c r="D64" s="299" t="str">
        <f t="shared" ref="D64:H64" si="55">IF($G$12="Oui",(IF(DATEDIF($F$7,D$21,"Y")&lt;18,0,(IF(OR(D32&gt;0.1,D33&gt;0.1),"décompter","")))),"")</f>
        <v/>
      </c>
      <c r="E64" s="299" t="str">
        <f t="shared" si="55"/>
        <v/>
      </c>
      <c r="F64" s="299" t="str">
        <f t="shared" si="55"/>
        <v/>
      </c>
      <c r="G64" s="299" t="str">
        <f t="shared" si="55"/>
        <v/>
      </c>
      <c r="H64" s="300" t="str">
        <f t="shared" si="55"/>
        <v/>
      </c>
      <c r="I64" s="325" t="str">
        <f t="shared" si="49"/>
        <v/>
      </c>
      <c r="J64" s="285">
        <f>B64</f>
        <v>0</v>
      </c>
      <c r="K64" s="299" t="str">
        <f>IF($G$12="Oui",(IF(DATEDIF($F$7,K$21,"Y")&lt;18,0,(IF(OR(K32&gt;0.1,K33&gt;0.1),"décompter","")))),"")</f>
        <v/>
      </c>
      <c r="L64" s="299" t="str">
        <f t="shared" ref="L64:P64" si="56">IF($G$12="Oui",(IF(DATEDIF($F$7,L$21,"Y")&lt;18,0,(IF(OR(L32&gt;0.1,L33&gt;0.1),"décompter","")))),"")</f>
        <v/>
      </c>
      <c r="M64" s="299" t="str">
        <f t="shared" si="56"/>
        <v/>
      </c>
      <c r="N64" s="299" t="str">
        <f t="shared" si="56"/>
        <v/>
      </c>
      <c r="O64" s="299" t="str">
        <f t="shared" si="56"/>
        <v/>
      </c>
      <c r="P64" s="300" t="str">
        <f t="shared" si="56"/>
        <v/>
      </c>
      <c r="Q64" s="231" t="str">
        <f>IF($G$12="oui",SUM(C64:H64)+SUM(K64:P64),"")</f>
        <v/>
      </c>
      <c r="R64" s="57"/>
      <c r="S64" s="57"/>
      <c r="T64" s="57"/>
      <c r="U64" s="57"/>
      <c r="V64" s="57"/>
      <c r="W64" s="101"/>
      <c r="X64" s="58"/>
      <c r="Y64" s="58"/>
      <c r="Z64" s="58"/>
      <c r="AA64" s="58"/>
      <c r="AB64" s="58"/>
      <c r="AC64" s="58"/>
      <c r="AD64" s="58"/>
      <c r="AE64" s="58"/>
    </row>
    <row r="65" spans="1:31" s="6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2"/>
      <c r="K65" s="1"/>
      <c r="L65" s="1"/>
      <c r="M65" s="1"/>
      <c r="N65" s="1"/>
      <c r="O65" s="1"/>
      <c r="P65" s="1"/>
      <c r="Q65" s="1"/>
      <c r="R65" s="62"/>
      <c r="S65" s="1"/>
      <c r="T65" s="1"/>
      <c r="U65" s="1"/>
      <c r="V65" s="62"/>
      <c r="W65" s="101"/>
      <c r="X65" s="58"/>
      <c r="Y65" s="58"/>
      <c r="Z65" s="58"/>
      <c r="AA65" s="58"/>
      <c r="AB65" s="58"/>
      <c r="AC65" s="58"/>
      <c r="AD65" s="63"/>
      <c r="AE65" s="63"/>
    </row>
    <row r="66" spans="1:31" s="415" customFormat="1" ht="15" customHeight="1" x14ac:dyDescent="0.25">
      <c r="A66" s="1"/>
      <c r="B66" s="1"/>
      <c r="C66" s="412"/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12"/>
      <c r="Q66" s="412"/>
      <c r="R66" s="413"/>
      <c r="S66" s="412"/>
      <c r="T66" s="412"/>
      <c r="U66" s="412"/>
      <c r="V66" s="413"/>
      <c r="W66" s="429"/>
      <c r="X66" s="414"/>
      <c r="Y66" s="414"/>
      <c r="Z66" s="414"/>
      <c r="AA66" s="414"/>
      <c r="AB66" s="414"/>
      <c r="AC66" s="414"/>
      <c r="AD66" s="414"/>
      <c r="AE66" s="414"/>
    </row>
    <row r="67" spans="1:31" s="412" customFormat="1" ht="15" hidden="1" customHeight="1" x14ac:dyDescent="0.2">
      <c r="A67" s="412" t="s">
        <v>155</v>
      </c>
      <c r="C67" s="424" t="str">
        <f>IF(AND($C$14&lt;=EOMONTH(C$21,0),OR($C$15&gt;=C$21,$C$15=""),$F$17&lt;=C$21),"oui","no")</f>
        <v>no</v>
      </c>
      <c r="D67" s="424" t="str">
        <f t="shared" ref="D67:H67" si="57">IF(AND($C$14&lt;=EOMONTH(D$21,0),OR($C$15&gt;=D$21,$C$15=""),$F$17&lt;=D$21),"oui","no")</f>
        <v>no</v>
      </c>
      <c r="E67" s="424" t="str">
        <f t="shared" si="57"/>
        <v>no</v>
      </c>
      <c r="F67" s="424" t="str">
        <f t="shared" si="57"/>
        <v>no</v>
      </c>
      <c r="G67" s="424" t="str">
        <f t="shared" si="57"/>
        <v>no</v>
      </c>
      <c r="H67" s="424" t="str">
        <f t="shared" si="57"/>
        <v>no</v>
      </c>
      <c r="I67" s="424"/>
      <c r="J67" s="424"/>
      <c r="K67" s="424" t="str">
        <f>IF(AND($C$14&lt;=EOMONTH(K$21,0),OR($C$15&gt;=K$21,$C$15=""),$F$17&lt;=K$21),"oui","no")</f>
        <v>no</v>
      </c>
      <c r="L67" s="424" t="str">
        <f t="shared" ref="L67:P67" si="58">IF(AND($C$14&lt;=EOMONTH(L$21,0),OR($C$15&gt;=L$21,$C$15=""),$F$17&lt;=L$21),"oui","no")</f>
        <v>no</v>
      </c>
      <c r="M67" s="424" t="str">
        <f t="shared" si="58"/>
        <v>no</v>
      </c>
      <c r="N67" s="424" t="str">
        <f t="shared" si="58"/>
        <v>no</v>
      </c>
      <c r="O67" s="424" t="str">
        <f t="shared" si="58"/>
        <v>no</v>
      </c>
      <c r="P67" s="424" t="str">
        <f t="shared" si="58"/>
        <v>no</v>
      </c>
      <c r="X67" s="416"/>
      <c r="Y67" s="416"/>
      <c r="Z67" s="416"/>
      <c r="AA67" s="416"/>
      <c r="AB67" s="416"/>
      <c r="AC67" s="416"/>
      <c r="AD67" s="416"/>
      <c r="AE67" s="416"/>
    </row>
    <row r="68" spans="1:31" s="412" customFormat="1" ht="10" hidden="1" x14ac:dyDescent="0.2">
      <c r="X68" s="416"/>
      <c r="Y68" s="416"/>
      <c r="Z68" s="416"/>
      <c r="AA68" s="416"/>
      <c r="AB68" s="416"/>
      <c r="AC68" s="416"/>
      <c r="AD68" s="416"/>
      <c r="AE68" s="416"/>
    </row>
    <row r="69" spans="1:31" s="412" customFormat="1" ht="10.5" hidden="1" x14ac:dyDescent="0.25">
      <c r="A69" s="417"/>
      <c r="C69" s="418">
        <f>C$21</f>
        <v>46023</v>
      </c>
      <c r="D69" s="418">
        <f t="shared" ref="D69:H69" si="59">D$21</f>
        <v>46054</v>
      </c>
      <c r="E69" s="418">
        <f t="shared" si="59"/>
        <v>46082</v>
      </c>
      <c r="F69" s="418">
        <f t="shared" si="59"/>
        <v>46113</v>
      </c>
      <c r="G69" s="418">
        <f t="shared" si="59"/>
        <v>46143</v>
      </c>
      <c r="H69" s="418">
        <f t="shared" si="59"/>
        <v>46174</v>
      </c>
      <c r="K69" s="418">
        <f>K$21</f>
        <v>46204</v>
      </c>
      <c r="L69" s="418">
        <f t="shared" ref="L69:P69" si="60">L$21</f>
        <v>46235</v>
      </c>
      <c r="M69" s="418">
        <f t="shared" si="60"/>
        <v>46266</v>
      </c>
      <c r="N69" s="418">
        <f t="shared" si="60"/>
        <v>46296</v>
      </c>
      <c r="O69" s="418">
        <f t="shared" si="60"/>
        <v>46327</v>
      </c>
      <c r="P69" s="418">
        <f t="shared" si="60"/>
        <v>46357</v>
      </c>
      <c r="X69" s="416"/>
      <c r="Y69" s="416"/>
      <c r="Z69" s="416"/>
      <c r="AA69" s="416"/>
      <c r="AB69" s="416"/>
      <c r="AC69" s="416"/>
      <c r="AD69" s="416"/>
      <c r="AE69" s="416"/>
    </row>
    <row r="70" spans="1:31" s="412" customFormat="1" ht="10.5" hidden="1" x14ac:dyDescent="0.25">
      <c r="A70" s="419" t="s">
        <v>156</v>
      </c>
      <c r="C70" s="419">
        <f t="shared" ref="C70:H70" si="61">IF($C$16="Salaire horaire",SUM(C$27,C$29,C$30,C$31,C$32,C$33,C$34),SUM(C$22,C$23,C$30,C$31,C$32,C$33,C$34))</f>
        <v>0</v>
      </c>
      <c r="D70" s="419">
        <f t="shared" si="61"/>
        <v>0</v>
      </c>
      <c r="E70" s="419">
        <f t="shared" si="61"/>
        <v>0</v>
      </c>
      <c r="F70" s="419">
        <f t="shared" si="61"/>
        <v>0</v>
      </c>
      <c r="G70" s="419">
        <f t="shared" si="61"/>
        <v>0</v>
      </c>
      <c r="H70" s="419">
        <f t="shared" si="61"/>
        <v>0</v>
      </c>
      <c r="K70" s="419">
        <f t="shared" ref="K70:P70" si="62">IF($C$16="Salaire horaire",SUM(K$27,K$29,K$30,K$31,K$32,K$33,K$34),SUM(K$22,K$23,K$30,K$31,K$32,K$33,K$34))</f>
        <v>0</v>
      </c>
      <c r="L70" s="419">
        <f t="shared" si="62"/>
        <v>0</v>
      </c>
      <c r="M70" s="419">
        <f t="shared" si="62"/>
        <v>0</v>
      </c>
      <c r="N70" s="419">
        <f t="shared" si="62"/>
        <v>0</v>
      </c>
      <c r="O70" s="419">
        <f t="shared" si="62"/>
        <v>0</v>
      </c>
      <c r="P70" s="419">
        <f t="shared" si="62"/>
        <v>0</v>
      </c>
      <c r="X70" s="416"/>
      <c r="Y70" s="416"/>
      <c r="Z70" s="416"/>
      <c r="AA70" s="416"/>
      <c r="AB70" s="416"/>
      <c r="AC70" s="416"/>
      <c r="AD70" s="416"/>
      <c r="AE70" s="416"/>
    </row>
    <row r="71" spans="1:31" s="412" customFormat="1" ht="10.5" hidden="1" x14ac:dyDescent="0.25">
      <c r="A71" s="419" t="s">
        <v>157</v>
      </c>
      <c r="C71" s="419">
        <f>IF(C$73=0,0,C$70)</f>
        <v>0</v>
      </c>
      <c r="D71" s="419">
        <f>IF(D$73=0,0,D$70+C$71)</f>
        <v>0</v>
      </c>
      <c r="E71" s="419">
        <f t="shared" ref="E71:G71" si="63">IF(E$73=0,0,E$70+D$71)</f>
        <v>0</v>
      </c>
      <c r="F71" s="419">
        <f t="shared" si="63"/>
        <v>0</v>
      </c>
      <c r="G71" s="419">
        <f t="shared" si="63"/>
        <v>0</v>
      </c>
      <c r="H71" s="419">
        <f>IF(H$73=0,0,H$70+G$71)</f>
        <v>0</v>
      </c>
      <c r="K71" s="419">
        <f>IF(K$73=0,0,K$70+H$71)</f>
        <v>0</v>
      </c>
      <c r="L71" s="419">
        <f>IF(L$73=0,0,L$70+K$71)</f>
        <v>0</v>
      </c>
      <c r="M71" s="419">
        <f t="shared" ref="M71:P71" si="64">IF(M$73=0,0,M$70+L$71)</f>
        <v>0</v>
      </c>
      <c r="N71" s="419">
        <f t="shared" si="64"/>
        <v>0</v>
      </c>
      <c r="O71" s="419">
        <f t="shared" si="64"/>
        <v>0</v>
      </c>
      <c r="P71" s="419">
        <f t="shared" si="64"/>
        <v>0</v>
      </c>
      <c r="X71" s="416"/>
      <c r="Y71" s="416"/>
      <c r="Z71" s="416"/>
      <c r="AA71" s="416"/>
      <c r="AB71" s="416"/>
      <c r="AC71" s="416"/>
      <c r="AD71" s="416"/>
      <c r="AE71" s="416"/>
    </row>
    <row r="72" spans="1:31" s="412" customFormat="1" ht="10.5" hidden="1" x14ac:dyDescent="0.25">
      <c r="A72" s="419"/>
      <c r="C72" s="419"/>
      <c r="D72" s="419"/>
      <c r="E72" s="419"/>
      <c r="F72" s="419"/>
      <c r="G72" s="419"/>
      <c r="H72" s="419"/>
      <c r="K72" s="419"/>
      <c r="L72" s="419"/>
      <c r="M72" s="419"/>
      <c r="N72" s="419"/>
      <c r="O72" s="419"/>
      <c r="P72" s="419"/>
      <c r="X72" s="416"/>
      <c r="Y72" s="416"/>
      <c r="Z72" s="416"/>
      <c r="AA72" s="416"/>
      <c r="AB72" s="416"/>
      <c r="AC72" s="416"/>
      <c r="AD72" s="416"/>
      <c r="AE72" s="416"/>
    </row>
    <row r="73" spans="1:31" s="412" customFormat="1" ht="10.5" hidden="1" x14ac:dyDescent="0.25">
      <c r="A73" s="419" t="s">
        <v>6</v>
      </c>
      <c r="C73" s="419">
        <f>IF(C$67="oui",Grundlagen!$B$7,0)</f>
        <v>0</v>
      </c>
      <c r="D73" s="419">
        <f>IF(D$67="oui",Grundlagen!$B$7,0)</f>
        <v>0</v>
      </c>
      <c r="E73" s="419">
        <f>IF(E$67="oui",Grundlagen!$B$7,0)</f>
        <v>0</v>
      </c>
      <c r="F73" s="419">
        <f>IF(F$67="oui",Grundlagen!$B$7,0)</f>
        <v>0</v>
      </c>
      <c r="G73" s="419">
        <f>IF(G$67="oui",Grundlagen!$B$7,0)</f>
        <v>0</v>
      </c>
      <c r="H73" s="419">
        <f>IF(H$67="oui",Grundlagen!$B$7,0)</f>
        <v>0</v>
      </c>
      <c r="K73" s="419">
        <f>IF(K$67="oui",Grundlagen!$B$7,0)</f>
        <v>0</v>
      </c>
      <c r="L73" s="419">
        <f>IF(L$67="oui",Grundlagen!$B$7,0)</f>
        <v>0</v>
      </c>
      <c r="M73" s="419">
        <f>IF(M$67="oui",Grundlagen!$B$7,0)</f>
        <v>0</v>
      </c>
      <c r="N73" s="419">
        <f>IF(N$67="oui",Grundlagen!$B$7,0)</f>
        <v>0</v>
      </c>
      <c r="O73" s="419">
        <f>IF(O$67="oui",Grundlagen!$B$7,0)</f>
        <v>0</v>
      </c>
      <c r="P73" s="419">
        <f>IF(P$67="oui",Grundlagen!$B$7,0)</f>
        <v>0</v>
      </c>
      <c r="X73" s="416"/>
      <c r="Y73" s="416"/>
      <c r="Z73" s="416"/>
      <c r="AA73" s="416"/>
      <c r="AB73" s="416"/>
      <c r="AC73" s="416"/>
      <c r="AD73" s="416"/>
      <c r="AE73" s="416"/>
    </row>
    <row r="74" spans="1:31" s="412" customFormat="1" ht="10.5" hidden="1" x14ac:dyDescent="0.25">
      <c r="A74" s="419" t="s">
        <v>158</v>
      </c>
      <c r="C74" s="419">
        <f>C$73</f>
        <v>0</v>
      </c>
      <c r="D74" s="419">
        <f>C$74+D$73</f>
        <v>0</v>
      </c>
      <c r="E74" s="419">
        <f t="shared" ref="E74:H74" si="65">D$74+E$73</f>
        <v>0</v>
      </c>
      <c r="F74" s="419">
        <f t="shared" si="65"/>
        <v>0</v>
      </c>
      <c r="G74" s="419">
        <f t="shared" si="65"/>
        <v>0</v>
      </c>
      <c r="H74" s="419">
        <f t="shared" si="65"/>
        <v>0</v>
      </c>
      <c r="K74" s="419">
        <f>H$74+K$73</f>
        <v>0</v>
      </c>
      <c r="L74" s="419">
        <f>K$74+L$73</f>
        <v>0</v>
      </c>
      <c r="M74" s="419">
        <f t="shared" ref="M74:P74" si="66">L$74+M$73</f>
        <v>0</v>
      </c>
      <c r="N74" s="419">
        <f t="shared" si="66"/>
        <v>0</v>
      </c>
      <c r="O74" s="419">
        <f t="shared" si="66"/>
        <v>0</v>
      </c>
      <c r="P74" s="419">
        <f t="shared" si="66"/>
        <v>0</v>
      </c>
      <c r="X74" s="416"/>
      <c r="Y74" s="416"/>
      <c r="Z74" s="416"/>
      <c r="AA74" s="416"/>
      <c r="AB74" s="416"/>
      <c r="AC74" s="416"/>
      <c r="AD74" s="416"/>
      <c r="AE74" s="416"/>
    </row>
    <row r="75" spans="1:31" s="412" customFormat="1" ht="10.5" hidden="1" x14ac:dyDescent="0.25">
      <c r="A75" s="419"/>
      <c r="C75" s="419"/>
      <c r="D75" s="419"/>
      <c r="E75" s="419"/>
      <c r="F75" s="419"/>
      <c r="G75" s="419"/>
      <c r="H75" s="419"/>
      <c r="K75" s="419"/>
      <c r="L75" s="419"/>
      <c r="M75" s="419"/>
      <c r="N75" s="419"/>
      <c r="O75" s="419"/>
      <c r="P75" s="419"/>
      <c r="X75" s="416"/>
      <c r="Y75" s="416"/>
      <c r="Z75" s="416"/>
      <c r="AA75" s="416"/>
      <c r="AB75" s="416"/>
      <c r="AC75" s="416"/>
      <c r="AD75" s="416"/>
      <c r="AE75" s="416"/>
    </row>
    <row r="76" spans="1:31" s="412" customFormat="1" ht="10.5" hidden="1" x14ac:dyDescent="0.25">
      <c r="A76" s="419" t="s">
        <v>159</v>
      </c>
      <c r="C76" s="419">
        <f>IF(C$71&gt;C$74,C$71-C$74,0)</f>
        <v>0</v>
      </c>
      <c r="D76" s="419">
        <f t="shared" ref="D76:H76" si="67">IF(D$71&gt;D$74,D$71-D$74,0)</f>
        <v>0</v>
      </c>
      <c r="E76" s="419">
        <f t="shared" si="67"/>
        <v>0</v>
      </c>
      <c r="F76" s="419">
        <f t="shared" si="67"/>
        <v>0</v>
      </c>
      <c r="G76" s="419">
        <f t="shared" si="67"/>
        <v>0</v>
      </c>
      <c r="H76" s="419">
        <f t="shared" si="67"/>
        <v>0</v>
      </c>
      <c r="K76" s="419">
        <f>IF(K$71&gt;K$74,K$71-K$74,0)</f>
        <v>0</v>
      </c>
      <c r="L76" s="419">
        <f t="shared" ref="L76:P76" si="68">IF(L$71&gt;L$74,L$71-L$74,0)</f>
        <v>0</v>
      </c>
      <c r="M76" s="419">
        <f t="shared" si="68"/>
        <v>0</v>
      </c>
      <c r="N76" s="419">
        <f t="shared" si="68"/>
        <v>0</v>
      </c>
      <c r="O76" s="419">
        <f t="shared" si="68"/>
        <v>0</v>
      </c>
      <c r="P76" s="419">
        <f t="shared" si="68"/>
        <v>0</v>
      </c>
      <c r="X76" s="416"/>
      <c r="Y76" s="416"/>
      <c r="Z76" s="416"/>
      <c r="AA76" s="416"/>
      <c r="AB76" s="416"/>
      <c r="AC76" s="416"/>
      <c r="AD76" s="416"/>
      <c r="AE76" s="416"/>
    </row>
    <row r="77" spans="1:31" s="412" customFormat="1" ht="10.5" hidden="1" x14ac:dyDescent="0.25">
      <c r="A77" s="419" t="s">
        <v>160</v>
      </c>
      <c r="C77" s="419">
        <f>C$79</f>
        <v>0</v>
      </c>
      <c r="D77" s="419">
        <f>C$77+D$79</f>
        <v>0</v>
      </c>
      <c r="E77" s="419">
        <f t="shared" ref="E77:H77" si="69">D$77+E$79</f>
        <v>0</v>
      </c>
      <c r="F77" s="419">
        <f t="shared" si="69"/>
        <v>0</v>
      </c>
      <c r="G77" s="419">
        <f t="shared" si="69"/>
        <v>0</v>
      </c>
      <c r="H77" s="419">
        <f t="shared" si="69"/>
        <v>0</v>
      </c>
      <c r="K77" s="419">
        <f>H$77+K$79</f>
        <v>0</v>
      </c>
      <c r="L77" s="419">
        <f>K$77+L$79</f>
        <v>0</v>
      </c>
      <c r="M77" s="419">
        <f t="shared" ref="M77:P77" si="70">L$77+M$79</f>
        <v>0</v>
      </c>
      <c r="N77" s="419">
        <f t="shared" si="70"/>
        <v>0</v>
      </c>
      <c r="O77" s="419">
        <f t="shared" si="70"/>
        <v>0</v>
      </c>
      <c r="P77" s="419">
        <f t="shared" si="70"/>
        <v>0</v>
      </c>
      <c r="X77" s="416"/>
      <c r="Y77" s="416"/>
      <c r="Z77" s="416"/>
      <c r="AA77" s="416"/>
      <c r="AB77" s="416"/>
      <c r="AC77" s="416"/>
      <c r="AD77" s="416"/>
      <c r="AE77" s="416"/>
    </row>
    <row r="78" spans="1:31" s="412" customFormat="1" ht="10.5" hidden="1" x14ac:dyDescent="0.25">
      <c r="A78" s="419"/>
      <c r="C78" s="419"/>
      <c r="D78" s="419"/>
      <c r="E78" s="419"/>
      <c r="F78" s="419"/>
      <c r="G78" s="419"/>
      <c r="H78" s="419"/>
      <c r="K78" s="419"/>
      <c r="L78" s="419"/>
      <c r="M78" s="419"/>
      <c r="N78" s="419"/>
      <c r="O78" s="419"/>
      <c r="P78" s="419"/>
      <c r="X78" s="416"/>
      <c r="Y78" s="416"/>
      <c r="Z78" s="416"/>
      <c r="AA78" s="416"/>
      <c r="AB78" s="416"/>
      <c r="AC78" s="416"/>
      <c r="AD78" s="416"/>
      <c r="AE78" s="416"/>
    </row>
    <row r="79" spans="1:31" s="412" customFormat="1" ht="10.5" hidden="1" x14ac:dyDescent="0.25">
      <c r="A79" s="420" t="s">
        <v>161</v>
      </c>
      <c r="C79" s="419">
        <f>IF(C$70=0,0,C$76)</f>
        <v>0</v>
      </c>
      <c r="D79" s="420">
        <f>IF(D$70=0,0,D$76-C$77)</f>
        <v>0</v>
      </c>
      <c r="E79" s="420">
        <f t="shared" ref="E79:H79" si="71">IF(E$70=0,0,E$76-D$77)</f>
        <v>0</v>
      </c>
      <c r="F79" s="420">
        <f t="shared" si="71"/>
        <v>0</v>
      </c>
      <c r="G79" s="420">
        <f t="shared" si="71"/>
        <v>0</v>
      </c>
      <c r="H79" s="420">
        <f t="shared" si="71"/>
        <v>0</v>
      </c>
      <c r="K79" s="420">
        <f>IF(K$70=0,0,K$76-H$77)</f>
        <v>0</v>
      </c>
      <c r="L79" s="420">
        <f t="shared" ref="L79:P79" si="72">IF(L$70=0,0,L$76-K$77)</f>
        <v>0</v>
      </c>
      <c r="M79" s="420">
        <f t="shared" si="72"/>
        <v>0</v>
      </c>
      <c r="N79" s="420">
        <f t="shared" si="72"/>
        <v>0</v>
      </c>
      <c r="O79" s="420">
        <f t="shared" si="72"/>
        <v>0</v>
      </c>
      <c r="P79" s="420">
        <f t="shared" si="72"/>
        <v>0</v>
      </c>
      <c r="X79" s="416"/>
      <c r="Y79" s="416"/>
      <c r="Z79" s="416"/>
      <c r="AA79" s="416"/>
      <c r="AB79" s="416"/>
      <c r="AC79" s="416"/>
      <c r="AD79" s="416"/>
      <c r="AE79" s="416"/>
    </row>
    <row r="80" spans="1:31" s="412" customFormat="1" ht="10.5" hidden="1" x14ac:dyDescent="0.25">
      <c r="A80" s="421" t="s">
        <v>6</v>
      </c>
      <c r="C80" s="421">
        <f>ROUND((IF(C$73=0,0,C$79-C$70)*-1)/5,2)*5</f>
        <v>0</v>
      </c>
      <c r="D80" s="421">
        <f>ROUND((IF(D$73=0,0,D$79-D$70)*-1)/5,2)*5</f>
        <v>0</v>
      </c>
      <c r="E80" s="421">
        <f t="shared" ref="E80:H80" si="73">ROUND((IF(E$73=0,0,E$79-E$70)*-1)/5,2)*5</f>
        <v>0</v>
      </c>
      <c r="F80" s="421">
        <f t="shared" si="73"/>
        <v>0</v>
      </c>
      <c r="G80" s="421">
        <f t="shared" si="73"/>
        <v>0</v>
      </c>
      <c r="H80" s="421">
        <f t="shared" si="73"/>
        <v>0</v>
      </c>
      <c r="K80" s="421">
        <f t="shared" ref="K80:P80" si="74">ROUND((IF(K$73=0,0,K$79-K$70)*-1)/5,2)*5</f>
        <v>0</v>
      </c>
      <c r="L80" s="421">
        <f t="shared" si="74"/>
        <v>0</v>
      </c>
      <c r="M80" s="421">
        <f t="shared" si="74"/>
        <v>0</v>
      </c>
      <c r="N80" s="421">
        <f t="shared" si="74"/>
        <v>0</v>
      </c>
      <c r="O80" s="421">
        <f t="shared" si="74"/>
        <v>0</v>
      </c>
      <c r="P80" s="421">
        <f t="shared" si="74"/>
        <v>0</v>
      </c>
      <c r="X80" s="416"/>
      <c r="Y80" s="416"/>
      <c r="Z80" s="416"/>
      <c r="AA80" s="416"/>
      <c r="AB80" s="416"/>
      <c r="AC80" s="416"/>
      <c r="AD80" s="416"/>
      <c r="AE80" s="416"/>
    </row>
    <row r="81" spans="1:31" s="412" customFormat="1" ht="10.5" hidden="1" x14ac:dyDescent="0.25">
      <c r="A81" s="420" t="s">
        <v>162</v>
      </c>
      <c r="C81" s="419">
        <f t="shared" ref="C81:H81" si="75">IF(C$67="oui",0,C$39)</f>
        <v>0</v>
      </c>
      <c r="D81" s="419">
        <f t="shared" si="75"/>
        <v>0</v>
      </c>
      <c r="E81" s="419">
        <f t="shared" si="75"/>
        <v>0</v>
      </c>
      <c r="F81" s="419">
        <f t="shared" si="75"/>
        <v>0</v>
      </c>
      <c r="G81" s="419">
        <f t="shared" si="75"/>
        <v>0</v>
      </c>
      <c r="H81" s="419">
        <f t="shared" si="75"/>
        <v>0</v>
      </c>
      <c r="K81" s="419">
        <f t="shared" ref="K81:P81" si="76">IF(K$67="oui",0,K$39)</f>
        <v>0</v>
      </c>
      <c r="L81" s="419">
        <f t="shared" si="76"/>
        <v>0</v>
      </c>
      <c r="M81" s="419">
        <f t="shared" si="76"/>
        <v>0</v>
      </c>
      <c r="N81" s="419">
        <f t="shared" si="76"/>
        <v>0</v>
      </c>
      <c r="O81" s="419">
        <f t="shared" si="76"/>
        <v>0</v>
      </c>
      <c r="P81" s="419">
        <f t="shared" si="76"/>
        <v>0</v>
      </c>
      <c r="Q81" s="430">
        <f>SUM(C81:P81)</f>
        <v>0</v>
      </c>
      <c r="X81" s="416"/>
      <c r="Y81" s="416"/>
      <c r="Z81" s="416"/>
      <c r="AA81" s="416"/>
      <c r="AB81" s="416"/>
      <c r="AC81" s="416"/>
      <c r="AD81" s="416"/>
      <c r="AE81" s="416"/>
    </row>
    <row r="82" spans="1:31" s="412" customFormat="1" ht="10" x14ac:dyDescent="0.2">
      <c r="X82" s="416"/>
      <c r="Y82" s="416"/>
      <c r="Z82" s="416"/>
      <c r="AA82" s="416"/>
      <c r="AB82" s="416"/>
      <c r="AC82" s="416"/>
      <c r="AD82" s="416"/>
      <c r="AE82" s="416"/>
    </row>
    <row r="83" spans="1:31" s="412" customFormat="1" ht="10" x14ac:dyDescent="0.2">
      <c r="X83" s="416"/>
      <c r="Y83" s="416"/>
      <c r="Z83" s="416"/>
      <c r="AA83" s="416"/>
      <c r="AB83" s="416"/>
      <c r="AC83" s="416"/>
      <c r="AD83" s="416"/>
      <c r="AE83" s="416"/>
    </row>
  </sheetData>
  <sheetProtection algorithmName="SHA-512" hashValue="WOyohye1jFDJFb9U7Hk60foEnxTABAcNYDOMFjRwoe1wAtYRQKDMLLArhZRSMOwnLUWjq9MPg/eI6+9xP9ISVQ==" saltValue="iFdGvhRxCuF8Mcz3udMMfg==" spinCount="100000" sheet="1" objects="1" scenarios="1"/>
  <mergeCells count="48">
    <mergeCell ref="F16:G16"/>
    <mergeCell ref="S20:U22"/>
    <mergeCell ref="S18:U18"/>
    <mergeCell ref="S41:U43"/>
    <mergeCell ref="S33:U35"/>
    <mergeCell ref="S28:U30"/>
    <mergeCell ref="S24:U26"/>
    <mergeCell ref="S36:U40"/>
    <mergeCell ref="AH4:AI5"/>
    <mergeCell ref="AD4:AD5"/>
    <mergeCell ref="AA2:AA5"/>
    <mergeCell ref="Y2:Y5"/>
    <mergeCell ref="X4:X5"/>
    <mergeCell ref="Z4:Z5"/>
    <mergeCell ref="AB4:AB5"/>
    <mergeCell ref="AC4:AC5"/>
    <mergeCell ref="S4:T4"/>
    <mergeCell ref="C9:D9"/>
    <mergeCell ref="F9:G9"/>
    <mergeCell ref="S31:U32"/>
    <mergeCell ref="L1:N2"/>
    <mergeCell ref="A2:C2"/>
    <mergeCell ref="I2:K2"/>
    <mergeCell ref="C8:D8"/>
    <mergeCell ref="F8:G8"/>
    <mergeCell ref="A1:C1"/>
    <mergeCell ref="D1:F2"/>
    <mergeCell ref="I1:K1"/>
    <mergeCell ref="C6:D6"/>
    <mergeCell ref="F6:G6"/>
    <mergeCell ref="C7:D7"/>
    <mergeCell ref="F15:G15"/>
    <mergeCell ref="E52:E53"/>
    <mergeCell ref="D52:D53"/>
    <mergeCell ref="C52:C53"/>
    <mergeCell ref="G1:H3"/>
    <mergeCell ref="P1:Q3"/>
    <mergeCell ref="F7:G7"/>
    <mergeCell ref="P52:P53"/>
    <mergeCell ref="H52:H53"/>
    <mergeCell ref="K52:K53"/>
    <mergeCell ref="L52:L53"/>
    <mergeCell ref="M52:M53"/>
    <mergeCell ref="N52:N53"/>
    <mergeCell ref="O52:O53"/>
    <mergeCell ref="G52:G53"/>
    <mergeCell ref="F52:F53"/>
    <mergeCell ref="F14:G14"/>
  </mergeCells>
  <conditionalFormatting sqref="A25">
    <cfRule type="beginsWith" dxfId="566" priority="10" operator="beginsWith" text="Nom">
      <formula>LEFT(A25,LEN("Nom"))="Nom"</formula>
    </cfRule>
  </conditionalFormatting>
  <conditionalFormatting sqref="A26">
    <cfRule type="containsText" dxfId="565" priority="13" operator="containsText" text="Nombre d'heures">
      <formula>NOT(ISERROR(SEARCH("Nombre d'heures",A26)))</formula>
    </cfRule>
  </conditionalFormatting>
  <conditionalFormatting sqref="A28">
    <cfRule type="containsText" dxfId="564" priority="15" operator="containsText" text="Nombre d'heures II">
      <formula>NOT(ISERROR(SEARCH("Nombre d'heures II",A28)))</formula>
    </cfRule>
  </conditionalFormatting>
  <conditionalFormatting sqref="A24:B24">
    <cfRule type="expression" dxfId="563" priority="8">
      <formula>$G$11="oui"</formula>
    </cfRule>
  </conditionalFormatting>
  <conditionalFormatting sqref="A25:B25">
    <cfRule type="expression" dxfId="562" priority="6">
      <formula>$P$10&gt;0.1</formula>
    </cfRule>
  </conditionalFormatting>
  <conditionalFormatting sqref="A50:B50">
    <cfRule type="expression" dxfId="561" priority="7">
      <formula>$G$11="ja"</formula>
    </cfRule>
  </conditionalFormatting>
  <conditionalFormatting sqref="A60:B64">
    <cfRule type="expression" dxfId="560" priority="2">
      <formula>$G$12="non"</formula>
    </cfRule>
  </conditionalFormatting>
  <conditionalFormatting sqref="B25">
    <cfRule type="beginsWith" dxfId="559" priority="3" operator="beginsWith" text="Nb">
      <formula>LEFT(B25,LEN("Nb"))="Nb"</formula>
    </cfRule>
  </conditionalFormatting>
  <conditionalFormatting sqref="B26">
    <cfRule type="containsText" dxfId="558" priority="5" operator="containsText" text="h">
      <formula>NOT(ISERROR(SEARCH("h",B26)))</formula>
    </cfRule>
  </conditionalFormatting>
  <conditionalFormatting sqref="B28">
    <cfRule type="containsText" dxfId="557" priority="4" operator="containsText" text="h">
      <formula>NOT(ISERROR(SEARCH("h",B28)))</formula>
    </cfRule>
  </conditionalFormatting>
  <conditionalFormatting sqref="C17">
    <cfRule type="expression" dxfId="556" priority="225">
      <formula>$A$17="13ème salaire"</formula>
    </cfRule>
  </conditionalFormatting>
  <conditionalFormatting sqref="C22:H22">
    <cfRule type="cellIs" dxfId="555" priority="222" operator="greaterThan">
      <formula>1</formula>
    </cfRule>
  </conditionalFormatting>
  <conditionalFormatting sqref="C23:H23 K23:P23">
    <cfRule type="expression" dxfId="554" priority="30">
      <formula>$B$23="CHF"</formula>
    </cfRule>
  </conditionalFormatting>
  <conditionalFormatting sqref="C24:H24 K24:P24">
    <cfRule type="expression" dxfId="553" priority="137">
      <formula>$G$11="ja"</formula>
    </cfRule>
  </conditionalFormatting>
  <conditionalFormatting sqref="C25:H25 K25:P25">
    <cfRule type="expression" dxfId="552" priority="61">
      <formula>$B$25="Anz."</formula>
    </cfRule>
  </conditionalFormatting>
  <conditionalFormatting sqref="C26:H26">
    <cfRule type="expression" dxfId="551" priority="25">
      <formula>$G$12="oui"</formula>
    </cfRule>
    <cfRule type="expression" dxfId="550" priority="26">
      <formula>$C$16="Salaire horaire"</formula>
    </cfRule>
  </conditionalFormatting>
  <conditionalFormatting sqref="C28:H28 K28:P28">
    <cfRule type="expression" dxfId="549" priority="138">
      <formula>$G$10="Ja"</formula>
    </cfRule>
  </conditionalFormatting>
  <conditionalFormatting sqref="C50:H50">
    <cfRule type="expression" dxfId="548" priority="107">
      <formula>C51&lt;-0.01</formula>
    </cfRule>
    <cfRule type="expression" dxfId="547" priority="106">
      <formula>C51&gt;0.01</formula>
    </cfRule>
  </conditionalFormatting>
  <conditionalFormatting sqref="C51:H51">
    <cfRule type="cellIs" dxfId="546" priority="124" operator="lessThan">
      <formula>-0.04</formula>
    </cfRule>
    <cfRule type="cellIs" dxfId="545" priority="125" operator="greaterThan">
      <formula>0.04</formula>
    </cfRule>
  </conditionalFormatting>
  <conditionalFormatting sqref="C60:Q63 C64:P64">
    <cfRule type="expression" dxfId="544" priority="84">
      <formula>$G$12="nein"</formula>
    </cfRule>
  </conditionalFormatting>
  <conditionalFormatting sqref="G1">
    <cfRule type="containsText" dxfId="543" priority="47" operator="containsText" text="Achtung Fehler">
      <formula>NOT(ISERROR(SEARCH("Achtung Fehler",G1)))</formula>
    </cfRule>
  </conditionalFormatting>
  <conditionalFormatting sqref="G10">
    <cfRule type="expression" dxfId="542" priority="41">
      <formula>$C$16="Salaire horaire"</formula>
    </cfRule>
  </conditionalFormatting>
  <conditionalFormatting sqref="H17:H18">
    <cfRule type="beginsWith" dxfId="541" priority="23" operator="beginsWith" text="ATT">
      <formula>LEFT(H17,LEN("ATT"))="ATT"</formula>
    </cfRule>
  </conditionalFormatting>
  <conditionalFormatting sqref="I25">
    <cfRule type="beginsWith" dxfId="540" priority="32" operator="beginsWith" text="Nom">
      <formula>LEFT(I25,LEN("Nom"))="Nom"</formula>
    </cfRule>
  </conditionalFormatting>
  <conditionalFormatting sqref="I26">
    <cfRule type="containsText" dxfId="539" priority="54" operator="containsText" text="Nombre d'heures">
      <formula>NOT(ISERROR(SEARCH("Nombre d'heures",I26)))</formula>
    </cfRule>
  </conditionalFormatting>
  <conditionalFormatting sqref="I28">
    <cfRule type="containsText" dxfId="538" priority="56" operator="containsText" text="Nombre d'heures II">
      <formula>NOT(ISERROR(SEARCH("Nombre d'heures II",I28)))</formula>
    </cfRule>
  </conditionalFormatting>
  <conditionalFormatting sqref="I24:J24">
    <cfRule type="expression" dxfId="537" priority="83">
      <formula>$G$11="oui"</formula>
    </cfRule>
  </conditionalFormatting>
  <conditionalFormatting sqref="I25:J25">
    <cfRule type="expression" dxfId="536" priority="33">
      <formula>$P$10&gt;0.1</formula>
    </cfRule>
  </conditionalFormatting>
  <conditionalFormatting sqref="I50:J50">
    <cfRule type="expression" dxfId="535" priority="82">
      <formula>$G$11="ja"</formula>
    </cfRule>
  </conditionalFormatting>
  <conditionalFormatting sqref="J25">
    <cfRule type="beginsWith" dxfId="534" priority="31" operator="beginsWith" text="Anz">
      <formula>LEFT(J25,LEN("Anz"))="Anz"</formula>
    </cfRule>
  </conditionalFormatting>
  <conditionalFormatting sqref="J26">
    <cfRule type="containsText" dxfId="533" priority="51" operator="containsText" text="h">
      <formula>NOT(ISERROR(SEARCH("h",J26)))</formula>
    </cfRule>
  </conditionalFormatting>
  <conditionalFormatting sqref="J28">
    <cfRule type="containsText" dxfId="532" priority="48" operator="containsText" text="Std.">
      <formula>NOT(ISERROR(SEARCH("Std.",J28)))</formula>
    </cfRule>
    <cfRule type="containsText" dxfId="531" priority="49" operator="containsText" text="Std.">
      <formula>NOT(ISERROR(SEARCH("Std.",J28)))</formula>
    </cfRule>
    <cfRule type="containsText" dxfId="530" priority="50" operator="containsText" text="Std.">
      <formula>NOT(ISERROR(SEARCH("Std.",J28)))</formula>
    </cfRule>
  </conditionalFormatting>
  <conditionalFormatting sqref="K22:P22">
    <cfRule type="cellIs" dxfId="529" priority="223" operator="greaterThan">
      <formula>1</formula>
    </cfRule>
  </conditionalFormatting>
  <conditionalFormatting sqref="K26:P26">
    <cfRule type="expression" dxfId="528" priority="134">
      <formula>$G$12="oui"</formula>
    </cfRule>
    <cfRule type="expression" dxfId="527" priority="135">
      <formula>$C$16="Salaire horaire"</formula>
    </cfRule>
  </conditionalFormatting>
  <conditionalFormatting sqref="K50:P50">
    <cfRule type="expression" dxfId="526" priority="94">
      <formula>K51&gt;0.01</formula>
    </cfRule>
    <cfRule type="expression" dxfId="525" priority="95">
      <formula>K51&lt;-0.01</formula>
    </cfRule>
  </conditionalFormatting>
  <conditionalFormatting sqref="K51:P51">
    <cfRule type="cellIs" dxfId="524" priority="120" operator="lessThan">
      <formula>-0.04</formula>
    </cfRule>
    <cfRule type="cellIs" dxfId="523" priority="121" operator="greaterThan">
      <formula>0.04</formula>
    </cfRule>
  </conditionalFormatting>
  <conditionalFormatting sqref="L7">
    <cfRule type="expression" dxfId="522" priority="18">
      <formula>$C$16="à choisir"</formula>
    </cfRule>
  </conditionalFormatting>
  <conditionalFormatting sqref="L12">
    <cfRule type="expression" dxfId="521" priority="21">
      <formula>$G$10="oui"</formula>
    </cfRule>
  </conditionalFormatting>
  <conditionalFormatting sqref="M8">
    <cfRule type="expression" dxfId="520" priority="17">
      <formula>$C$16="Salaire horaire"</formula>
    </cfRule>
    <cfRule type="expression" dxfId="519" priority="16">
      <formula>$C$16="salaire mensuel"</formula>
    </cfRule>
  </conditionalFormatting>
  <conditionalFormatting sqref="M13">
    <cfRule type="expression" dxfId="518" priority="19">
      <formula>$G$10="oui"</formula>
    </cfRule>
  </conditionalFormatting>
  <conditionalFormatting sqref="P1">
    <cfRule type="containsText" dxfId="517" priority="46" operator="containsText" text="Achtung Fehler">
      <formula>NOT(ISERROR(SEARCH("Achtung Fehler",P1)))</formula>
    </cfRule>
  </conditionalFormatting>
  <conditionalFormatting sqref="P7">
    <cfRule type="expression" dxfId="516" priority="20">
      <formula>$Q$7="du Sal.horaire"</formula>
    </cfRule>
  </conditionalFormatting>
  <conditionalFormatting sqref="P10">
    <cfRule type="expression" dxfId="515" priority="22">
      <formula>$Q$10="heures"</formula>
    </cfRule>
  </conditionalFormatting>
  <conditionalFormatting sqref="Q64">
    <cfRule type="expression" dxfId="514" priority="1">
      <formula>$G$12="non"</formula>
    </cfRule>
  </conditionalFormatting>
  <conditionalFormatting sqref="S20">
    <cfRule type="beginsWith" dxfId="513" priority="214" operator="beginsWith" text="ACHTUNG">
      <formula>LEFT(S20,LEN("ACHTUNG"))="ACHTUNG"</formula>
    </cfRule>
    <cfRule type="beginsWith" dxfId="512" priority="215" operator="beginsWith" text="Hinweis">
      <formula>LEFT(S20,LEN("Hinweis"))="Hinweis"</formula>
    </cfRule>
    <cfRule type="beginsWith" dxfId="511" priority="216" operator="beginsWith" text="Vereinfachtes">
      <formula>LEFT(S20,LEN("Vereinfachtes"))="Vereinfachtes"</formula>
    </cfRule>
  </conditionalFormatting>
  <conditionalFormatting sqref="S24">
    <cfRule type="beginsWith" dxfId="510" priority="213" operator="beginsWith" text="ACHTUNG">
      <formula>LEFT(S24,LEN("ACHTUNG"))="ACHTUNG"</formula>
    </cfRule>
  </conditionalFormatting>
  <conditionalFormatting sqref="S28">
    <cfRule type="beginsWith" dxfId="509" priority="212" operator="beginsWith" text="ACHTUNG">
      <formula>LEFT(S28,LEN("ACHTUNG"))="ACHTUNG"</formula>
    </cfRule>
  </conditionalFormatting>
  <conditionalFormatting sqref="S36:S37">
    <cfRule type="beginsWith" dxfId="508" priority="217" operator="beginsWith" text="ACHTUNG">
      <formula>LEFT(S36,LEN("ACHTUNG"))="ACHTUNG"</formula>
    </cfRule>
  </conditionalFormatting>
  <conditionalFormatting sqref="W1:AJ10 W11:X12 Z11:AJ12 W13:AJ1048576">
    <cfRule type="expression" dxfId="507" priority="24">
      <formula>W1&lt;&gt;""</formula>
    </cfRule>
  </conditionalFormatting>
  <dataValidations disablePrompts="1" count="7">
    <dataValidation type="list" allowBlank="1" showInputMessage="1" showErrorMessage="1" sqref="G11:G12" xr:uid="{CE764BA1-6285-4694-A1C1-D05AAF548507}">
      <formula1>$AH$6:$AH$8</formula1>
    </dataValidation>
    <dataValidation type="list" allowBlank="1" showInputMessage="1" showErrorMessage="1" sqref="C16" xr:uid="{00000000-0002-0000-0100-000002000000}">
      <formula1>$X$11:$X$13</formula1>
    </dataValidation>
    <dataValidation type="list" allowBlank="1" showInputMessage="1" showErrorMessage="1" sqref="C10" xr:uid="{C7570D9A-BB51-4729-BEDD-0F65FC5EA9DC}">
      <formula1>$X$6:$X$8</formula1>
    </dataValidation>
    <dataValidation type="list" allowBlank="1" showInputMessage="1" showErrorMessage="1" sqref="C17" xr:uid="{00000000-0002-0000-0100-000004000000}">
      <formula1>$Y$11:$Y$12</formula1>
    </dataValidation>
    <dataValidation type="list" allowBlank="1" showInputMessage="1" showErrorMessage="1" sqref="G10" xr:uid="{D07D63A5-3F2D-4095-930C-6144CE147FFB}">
      <formula1>$AC$13:$AC$14</formula1>
    </dataValidation>
    <dataValidation type="list" allowBlank="1" showInputMessage="1" showErrorMessage="1" sqref="F9:G9" xr:uid="{00000000-0002-0000-0100-000006000000}">
      <formula1>$AB$6:$AB$19</formula1>
    </dataValidation>
    <dataValidation type="list" allowBlank="1" showInputMessage="1" showErrorMessage="1" sqref="G13" xr:uid="{640305C4-DCC8-47A3-ADFD-043C8CCB37C0}">
      <formula1>$Y$6:$Y$8</formula1>
    </dataValidation>
  </dataValidations>
  <hyperlinks>
    <hyperlink ref="P1:Q3" location="Fehler1" display="Fehler1" xr:uid="{00000000-0004-0000-0100-000001000000}"/>
    <hyperlink ref="G1:H3" location="Fehler1" display="Fehler1" xr:uid="{00000000-0004-0000-0100-000000000000}"/>
  </hyperlinks>
  <pageMargins left="0.23622047244094491" right="0.23622047244094491" top="0.74803149606299213" bottom="0.74803149606299213" header="0.31496062992125984" footer="0.31496062992125984"/>
  <pageSetup paperSize="9" scale="82" fitToWidth="2" pageOrder="overThenDown" orientation="portrait" r:id="rId1"/>
  <headerFooter>
    <oddHeader>&amp;R&amp;"Arial,Standard"&amp;9Koordinationsstelle &amp;"MS Sans Serif,Standard"&amp;10
&amp;"Arial,Fett"&amp;9Berner Modell&amp;"Arial,Standard" - freie Lebensgestaltung von Menschen mit Behinderungen
HelpLine 031 300 33 70 / info@bernermodell.ch</oddHeader>
    <oddFooter>&amp;L&amp;"Arial,Standard"&amp;9Seite &amp;P von &amp;N&amp;R&amp;"Arial,Standard"&amp;9Lohnprogramm V10.0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BD"/>
    <pageSetUpPr fitToPage="1"/>
  </sheetPr>
  <dimension ref="A1:AK83"/>
  <sheetViews>
    <sheetView showGridLines="0" showZeros="0" zoomScaleNormal="100" workbookViewId="0">
      <selection activeCell="C6" sqref="C6:D6"/>
    </sheetView>
  </sheetViews>
  <sheetFormatPr baseColWidth="10" defaultColWidth="11.453125" defaultRowHeight="12.5" x14ac:dyDescent="0.25"/>
  <cols>
    <col min="1" max="1" width="20.81640625" style="1" customWidth="1"/>
    <col min="2" max="2" width="4.54296875" style="1" bestFit="1" customWidth="1"/>
    <col min="3" max="4" width="13.7265625" style="1" customWidth="1"/>
    <col min="5" max="5" width="14.54296875" style="1" customWidth="1"/>
    <col min="6" max="8" width="13.7265625" style="1" customWidth="1"/>
    <col min="9" max="9" width="21.1796875" style="1" customWidth="1"/>
    <col min="10" max="10" width="4.54296875" style="1" bestFit="1" customWidth="1"/>
    <col min="11" max="16" width="12.26953125" style="1" customWidth="1"/>
    <col min="17" max="17" width="14.26953125" style="1" bestFit="1" customWidth="1"/>
    <col min="18" max="18" width="5" style="1" customWidth="1"/>
    <col min="19" max="19" width="29" style="1" customWidth="1"/>
    <col min="20" max="20" width="21" style="1" customWidth="1"/>
    <col min="21" max="21" width="15.7265625" style="1" customWidth="1"/>
    <col min="22" max="22" width="8" style="1" customWidth="1"/>
    <col min="23" max="23" width="15.26953125" style="1" hidden="1" customWidth="1"/>
    <col min="24" max="31" width="15.26953125" style="68" hidden="1" customWidth="1"/>
    <col min="32" max="35" width="15.26953125" style="1" hidden="1" customWidth="1"/>
    <col min="36" max="37" width="15.26953125" style="1" customWidth="1"/>
    <col min="38" max="16384" width="11.453125" style="1"/>
  </cols>
  <sheetData>
    <row r="1" spans="1:35" ht="12.75" customHeight="1" x14ac:dyDescent="0.25">
      <c r="A1" s="474" t="str">
        <f>'PA 1'!A1:C1</f>
        <v>Nom/Prénom employeur</v>
      </c>
      <c r="B1" s="474"/>
      <c r="C1" s="474"/>
      <c r="D1" s="473" t="str">
        <f>"Programme de salaire "&amp;Grundlagen!$D$1</f>
        <v>Programme de salaire 2026</v>
      </c>
      <c r="E1" s="473"/>
      <c r="F1" s="473"/>
      <c r="G1" s="460" t="str">
        <f>IF($W45&gt;4,"Attention erreur!",IF($W$45&gt;0,"Attention remarque!",""))</f>
        <v/>
      </c>
      <c r="H1" s="460"/>
      <c r="I1" s="475" t="str">
        <f>A1</f>
        <v>Nom/Prénom employeur</v>
      </c>
      <c r="J1" s="475"/>
      <c r="K1" s="475"/>
      <c r="L1" s="473" t="str">
        <f>D1</f>
        <v>Programme de salaire 2026</v>
      </c>
      <c r="M1" s="473"/>
      <c r="N1" s="473"/>
      <c r="P1" s="460" t="str">
        <f>IF($W45&gt;4,"Attention erreur!",IF($W$45&gt;0,"Attention remarque!",""))</f>
        <v/>
      </c>
      <c r="Q1" s="460"/>
      <c r="S1" s="250" t="s">
        <v>55</v>
      </c>
      <c r="T1" s="264"/>
      <c r="U1" s="441" t="s">
        <v>56</v>
      </c>
      <c r="V1" s="442" t="s">
        <v>57</v>
      </c>
      <c r="W1" s="425"/>
      <c r="AE1" s="1"/>
    </row>
    <row r="2" spans="1:35" ht="12.75" customHeight="1" x14ac:dyDescent="0.25">
      <c r="A2" s="474" t="str">
        <f>'PA 1'!A2:C2</f>
        <v>Lieu employeur</v>
      </c>
      <c r="B2" s="474"/>
      <c r="C2" s="474"/>
      <c r="D2" s="473"/>
      <c r="E2" s="473"/>
      <c r="F2" s="473"/>
      <c r="G2" s="460"/>
      <c r="H2" s="460"/>
      <c r="I2" s="475" t="str">
        <f>A2</f>
        <v>Lieu employeur</v>
      </c>
      <c r="J2" s="475"/>
      <c r="K2" s="475"/>
      <c r="L2" s="473"/>
      <c r="M2" s="473"/>
      <c r="N2" s="473"/>
      <c r="P2" s="460"/>
      <c r="Q2" s="460"/>
      <c r="S2" s="253" t="s">
        <v>59</v>
      </c>
      <c r="T2" s="2"/>
      <c r="U2" s="225">
        <f>IF(C16="Salaire horaire",(M8*M7*52)+(M13*M12*52),(M8+Y13)*12)</f>
        <v>0</v>
      </c>
      <c r="V2" s="265"/>
      <c r="W2" s="425"/>
      <c r="Y2" s="478" t="s">
        <v>60</v>
      </c>
      <c r="AA2" s="478" t="str">
        <f>"Jahreslohn gesamt &gt; CHF "&amp;Grundlagen!$B$9</f>
        <v>Jahreslohn gesamt &gt; CHF 58800</v>
      </c>
      <c r="AE2" s="1"/>
    </row>
    <row r="3" spans="1:35" ht="5.15" customHeight="1" x14ac:dyDescent="0.25">
      <c r="G3" s="460"/>
      <c r="H3" s="460"/>
      <c r="P3" s="460"/>
      <c r="Q3" s="460"/>
      <c r="S3" s="258"/>
      <c r="V3" s="254"/>
      <c r="W3" s="425"/>
      <c r="Y3" s="478"/>
      <c r="AA3" s="478"/>
      <c r="AE3" s="1"/>
    </row>
    <row r="4" spans="1:35" ht="15" customHeight="1" thickBot="1" x14ac:dyDescent="0.35">
      <c r="A4" s="41" t="s">
        <v>61</v>
      </c>
      <c r="B4" s="41"/>
      <c r="C4" s="41"/>
      <c r="D4" s="41"/>
      <c r="E4" s="42"/>
      <c r="F4" s="42"/>
      <c r="G4" s="42"/>
      <c r="H4" s="51" t="str">
        <f>CONCATENATE($C$6," ",$C$7)</f>
        <v xml:space="preserve"> </v>
      </c>
      <c r="I4" s="440" t="s">
        <v>62</v>
      </c>
      <c r="J4" s="440"/>
      <c r="K4" s="440"/>
      <c r="L4" s="440"/>
      <c r="M4" s="42"/>
      <c r="N4" s="42"/>
      <c r="O4" s="42"/>
      <c r="P4" s="42"/>
      <c r="Q4" s="51" t="str">
        <f>CONCATENATE($C$6," ",$C$7)</f>
        <v xml:space="preserve"> </v>
      </c>
      <c r="S4" s="467" t="s">
        <v>63</v>
      </c>
      <c r="T4" s="468"/>
      <c r="U4" s="266">
        <f>((U2-(U2*SUM(T8:T14,T16,Y9)+(12*T15)))*Z14)</f>
        <v>0</v>
      </c>
      <c r="V4" s="267">
        <f>U4/365</f>
        <v>0</v>
      </c>
      <c r="W4" s="425"/>
      <c r="X4" s="476" t="s">
        <v>64</v>
      </c>
      <c r="Y4" s="478"/>
      <c r="Z4" s="476" t="s">
        <v>65</v>
      </c>
      <c r="AA4" s="478"/>
      <c r="AB4" s="479" t="s">
        <v>66</v>
      </c>
      <c r="AC4" s="480" t="s">
        <v>67</v>
      </c>
      <c r="AD4" s="477" t="s">
        <v>68</v>
      </c>
      <c r="AE4" s="1"/>
      <c r="AH4" s="476" t="s">
        <v>69</v>
      </c>
      <c r="AI4" s="476"/>
    </row>
    <row r="5" spans="1:35" ht="5.15" customHeight="1" x14ac:dyDescent="0.25">
      <c r="X5" s="476"/>
      <c r="Y5" s="478"/>
      <c r="Z5" s="476"/>
      <c r="AA5" s="478"/>
      <c r="AB5" s="479"/>
      <c r="AC5" s="480"/>
      <c r="AD5" s="477"/>
      <c r="AE5" s="2"/>
      <c r="AF5" s="4"/>
      <c r="AG5" s="48"/>
      <c r="AH5" s="476"/>
      <c r="AI5" s="476"/>
    </row>
    <row r="6" spans="1:35" s="2" customFormat="1" ht="13.5" thickBot="1" x14ac:dyDescent="0.35">
      <c r="A6" s="2" t="s">
        <v>70</v>
      </c>
      <c r="C6" s="466"/>
      <c r="D6" s="466"/>
      <c r="E6" s="2" t="s">
        <v>71</v>
      </c>
      <c r="F6" s="461"/>
      <c r="G6" s="466"/>
      <c r="I6" s="6" t="s">
        <v>72</v>
      </c>
      <c r="N6" s="6" t="str">
        <f>IF(AND(C16="Salaire horaire",G11="oui"),"Calcul de l'indemnité les heures de garde","")</f>
        <v/>
      </c>
      <c r="W6" s="426"/>
      <c r="X6" s="2" t="s">
        <v>73</v>
      </c>
      <c r="Y6" s="2" t="s">
        <v>73</v>
      </c>
      <c r="Z6" s="2" t="str">
        <f>IF(OR(G13="simplifiée",G13="à choisir"),"simplifiée","")</f>
        <v>simplifiée</v>
      </c>
      <c r="AA6" s="59" t="str">
        <f>IF('Attestation du salaire (simpl.)'!H43&lt;Grundlagen!$B$9,"non","oui")</f>
        <v>non</v>
      </c>
      <c r="AB6" s="232" t="s">
        <v>73</v>
      </c>
      <c r="AC6" s="59" t="str">
        <f>IF(OR(F9="Parents",F9="Enfant", F9="Grands-parents", F9="Petit-fils/fille", F9="Conjoint-e", F9="Partenariat enrégistré", F9="Concubin-e"),"oui","non")</f>
        <v>non</v>
      </c>
      <c r="AD6" s="59" t="e">
        <f>IF(C16="Salaire horaire",IF(OR(M8&lt;21.6,M8&gt;21.6),"non",IF(M13="","oui",IF(OR(M13&lt;21.6,M13&gt;21.6),"non","oui"))),IF(C17="non",IF(AD9=3930,"oui","non"),IF(AD10=3630,"oui","non")))</f>
        <v>#DIV/0!</v>
      </c>
      <c r="AF6" s="5" t="s">
        <v>74</v>
      </c>
      <c r="AG6" s="49"/>
      <c r="AH6" s="2" t="s">
        <v>73</v>
      </c>
    </row>
    <row r="7" spans="1:35" s="2" customFormat="1" ht="13" x14ac:dyDescent="0.3">
      <c r="A7" s="2" t="s">
        <v>75</v>
      </c>
      <c r="C7" s="466"/>
      <c r="D7" s="466"/>
      <c r="E7" s="2" t="s">
        <v>76</v>
      </c>
      <c r="F7" s="461"/>
      <c r="G7" s="461"/>
      <c r="I7" s="2" t="str">
        <f>IF(C16="Salaire horaire",IF(G10="oui","Taux d'occupation I","Taux d'occupation"),IF(C16="Salaire mensuel","Taux d'occupation",""))</f>
        <v/>
      </c>
      <c r="L7" s="380"/>
      <c r="M7" s="443">
        <f>42*L7</f>
        <v>0</v>
      </c>
      <c r="N7" s="2" t="str">
        <f>IF(AND(C16="Salaire horaire",G11="oui"),"1 heure de garde =","")</f>
        <v/>
      </c>
      <c r="P7" s="308"/>
      <c r="Q7" s="2" t="str">
        <f>IF(AND(C16="Salaire horaire",G11="oui"),"du Sal.horaire","")</f>
        <v/>
      </c>
      <c r="S7" s="250" t="s">
        <v>77</v>
      </c>
      <c r="T7" s="251" t="s">
        <v>78</v>
      </c>
      <c r="U7" s="252"/>
      <c r="W7" s="1"/>
      <c r="X7" s="2" t="s">
        <v>79</v>
      </c>
      <c r="Y7" s="2" t="s">
        <v>80</v>
      </c>
      <c r="Z7" s="59" t="str">
        <f>IF(OR(G13="ordinaire",G13="à choisir"),"ordinaire","")</f>
        <v>ordinaire</v>
      </c>
      <c r="AA7" s="59"/>
      <c r="AB7" s="59" t="s">
        <v>81</v>
      </c>
      <c r="AD7" s="59" t="e">
        <f>IF(C16="Salaire horaire",IF(OR(M8&lt;21.6,M8&gt;56.5),"non",IF(M13="","oui",IF(OR(M13&lt;21.6,M13&gt;56.5),"non","oui"))),IF(C17="non",IF(AD9&lt;3930,"non","oui"),IF(AD10&lt;3630,"non","oui")))</f>
        <v>#DIV/0!</v>
      </c>
      <c r="AF7" s="5" t="s">
        <v>82</v>
      </c>
      <c r="AG7" s="49">
        <v>0</v>
      </c>
      <c r="AH7" s="2" t="s">
        <v>83</v>
      </c>
    </row>
    <row r="8" spans="1:35" s="2" customFormat="1" ht="12" customHeight="1" x14ac:dyDescent="0.3">
      <c r="A8" s="2" t="s">
        <v>84</v>
      </c>
      <c r="C8" s="466"/>
      <c r="D8" s="466"/>
      <c r="E8" s="2" t="s">
        <v>85</v>
      </c>
      <c r="F8" s="466"/>
      <c r="G8" s="466"/>
      <c r="I8" s="5" t="str">
        <f>IF(AND($C$16="Salaire horaire",OR(H10="à choisir",G10="non")),"Salaire horaire (avec suppl. vacances)",IF(AND($C$16="Salaire horaire",$G$10="oui"),"Salaire horaire I (avec suppl. vacances)",IF(C16="Salaire mensuel","Salaire mensuel","")))</f>
        <v/>
      </c>
      <c r="L8" s="4">
        <v>0</v>
      </c>
      <c r="M8" s="249"/>
      <c r="S8" s="253" t="s">
        <v>86</v>
      </c>
      <c r="T8" s="255">
        <f>IF(F7="",0,IF(DATEDIF($F$7,$A$21,"Y")&lt;18,0,Grundlagen!$B$5))</f>
        <v>0</v>
      </c>
      <c r="U8" s="254"/>
      <c r="W8" s="427"/>
      <c r="X8" s="2" t="s">
        <v>87</v>
      </c>
      <c r="Y8" s="59" t="s">
        <v>88</v>
      </c>
      <c r="Z8" s="59"/>
      <c r="AB8" s="59" t="s">
        <v>89</v>
      </c>
      <c r="AD8" s="2" t="e">
        <f>IF(C16="Salaire horaire",IF(OR(M8&lt;21.6,M8&gt;56.5,M13&lt;21.6,M13&gt;56.5),"non","oui"),IF(C17="non",IF(AD9&lt;10290.1,"non","oui"),IF(AD10&lt;9500.1,"non","oui")))</f>
        <v>#DIV/0!</v>
      </c>
      <c r="AF8" s="5"/>
      <c r="AG8" s="49"/>
      <c r="AH8" s="2" t="s">
        <v>90</v>
      </c>
    </row>
    <row r="9" spans="1:35" s="2" customFormat="1" ht="13" x14ac:dyDescent="0.3">
      <c r="A9" s="2" t="s">
        <v>91</v>
      </c>
      <c r="C9" s="466"/>
      <c r="D9" s="466"/>
      <c r="E9" s="2" t="s">
        <v>92</v>
      </c>
      <c r="F9" s="469" t="s">
        <v>73</v>
      </c>
      <c r="G9" s="469"/>
      <c r="I9" s="4" t="str">
        <f>IF($C$16="Salaire horaire","Suppl. vacances","")</f>
        <v/>
      </c>
      <c r="K9" s="4" t="str">
        <f>IF($C$16="Salaire horaire",(IF(L9=8.33%,"4 semaines","5 semaines")),"")</f>
        <v/>
      </c>
      <c r="L9" s="48" t="str">
        <f>IF($C$16="Salaire horaire",(IF(OR((DATEDIF($F$7,$C$21,"Y")&lt;20),(DATEDIF($F$7,$C$21,"Y")&gt;49)),10.64%,8.33%)),"")</f>
        <v/>
      </c>
      <c r="M9" s="247" t="str">
        <f>IF($C$16="Salaire horaire",M8/(1+L9)*L9,"")</f>
        <v/>
      </c>
      <c r="N9" s="6" t="str">
        <f>IF(C16="Salaire horaire","Conversion des engagements de nuit en heures","")</f>
        <v/>
      </c>
      <c r="S9" s="253" t="s">
        <v>93</v>
      </c>
      <c r="T9" s="255">
        <f>IF(F7="",0,IF(DATEDIF($F$7,$A$21,"Y")&lt;18,0,IF($C$67="oui",0,Grundlagen!$B$6)))</f>
        <v>0</v>
      </c>
      <c r="U9" s="256"/>
      <c r="W9" s="428"/>
      <c r="Y9" s="75">
        <f>IF(G13="à choisir",0,IF(AND(Z6="simplifiée",'PA 2'!Z6="simplifiée",'PA 3'!Z6="simplifiée",'PA 4'!Z6="simplifiée",'PA 5'!Z6="simplifiée",'PA 6'!Z6="simplifiée",'PA 7'!Z6="simplifiée",'PA 8'!Z6="simplifiée",'PA 9'!Z6="simplifiée"),IF(DATEDIF($F$7,D21,"Y")&lt;17,0%,5%),0%))</f>
        <v>0</v>
      </c>
      <c r="Z9" s="59"/>
      <c r="AB9" s="59" t="s">
        <v>94</v>
      </c>
      <c r="AD9" s="59" t="e">
        <f>ROUND(M8/L7,0)</f>
        <v>#DIV/0!</v>
      </c>
      <c r="AF9" s="5"/>
      <c r="AG9" s="49"/>
    </row>
    <row r="10" spans="1:35" s="2" customFormat="1" ht="13" x14ac:dyDescent="0.3">
      <c r="A10" s="2" t="s">
        <v>95</v>
      </c>
      <c r="C10" s="378" t="s">
        <v>73</v>
      </c>
      <c r="E10" s="2" t="str">
        <f>IF(C16="Salaire horaire","Avez-vous 2 différents sal. horaire?","")</f>
        <v/>
      </c>
      <c r="G10" s="391"/>
      <c r="H10" s="176" t="str">
        <f>IF(G10&gt;1,"",IF(C16="Salaire horaire","à choisir",""))</f>
        <v/>
      </c>
      <c r="I10" s="5" t="str">
        <f>IF(AND($C$16="Salaire horaire",OR(H10="à choisir",G10="non")),"Salaire horaire (sans Suppl. vacances)",IF(AND($C$16="Salaire horaire",$G$10="oui"),"Salaire horaire I (sans Suppl. vacances)",""))</f>
        <v/>
      </c>
      <c r="M10" s="248" t="str">
        <f>IF($C$16="Salaire horaire",M8-M9,"")</f>
        <v/>
      </c>
      <c r="N10" s="2" t="str">
        <f>IF(C16="Salaire horaire","1 nuit correspond à","")</f>
        <v/>
      </c>
      <c r="P10" s="268"/>
      <c r="Q10" s="2" t="str">
        <f>IF(C16="Salaire horaire","heures","")</f>
        <v/>
      </c>
      <c r="S10" s="253"/>
      <c r="T10" s="255"/>
      <c r="U10" s="256"/>
      <c r="W10" s="1"/>
      <c r="X10" s="6" t="s">
        <v>96</v>
      </c>
      <c r="Y10" s="6" t="s">
        <v>97</v>
      </c>
      <c r="Z10" s="64" t="s">
        <v>98</v>
      </c>
      <c r="AB10" s="59" t="s">
        <v>99</v>
      </c>
      <c r="AD10" s="59" t="e">
        <f>ROUND(M8/L7,0)</f>
        <v>#DIV/0!</v>
      </c>
    </row>
    <row r="11" spans="1:35" s="2" customFormat="1" ht="13.5" customHeight="1" x14ac:dyDescent="0.3">
      <c r="A11" s="2" t="s">
        <v>100</v>
      </c>
      <c r="C11" s="378"/>
      <c r="E11" s="2" t="s">
        <v>101</v>
      </c>
      <c r="G11" s="381" t="s">
        <v>73</v>
      </c>
      <c r="S11" s="253" t="s">
        <v>102</v>
      </c>
      <c r="T11" s="387"/>
      <c r="U11" s="257" t="s">
        <v>103</v>
      </c>
      <c r="W11" s="1"/>
      <c r="X11" s="2" t="s">
        <v>73</v>
      </c>
      <c r="Y11" s="2" t="str">
        <f>IF(C16="Salaire mensuel","oui","")</f>
        <v/>
      </c>
      <c r="Z11" s="188">
        <f>IF(G13="simplifiée",126.8%,0)</f>
        <v>0</v>
      </c>
      <c r="AB11" s="59" t="s">
        <v>104</v>
      </c>
      <c r="AD11" s="59"/>
    </row>
    <row r="12" spans="1:35" s="2" customFormat="1" ht="13.5" customHeight="1" x14ac:dyDescent="0.3">
      <c r="A12" s="2" t="s">
        <v>105</v>
      </c>
      <c r="C12" s="378"/>
      <c r="E12" s="2" t="s">
        <v>106</v>
      </c>
      <c r="G12" s="381" t="s">
        <v>73</v>
      </c>
      <c r="I12" s="2" t="str">
        <f>IF(G10="oui","Taux d'occupation II","")</f>
        <v/>
      </c>
      <c r="L12" s="224"/>
      <c r="M12" s="246">
        <f>42*L12</f>
        <v>0</v>
      </c>
      <c r="S12" s="253"/>
      <c r="T12" s="1"/>
      <c r="U12" s="254"/>
      <c r="W12" s="1"/>
      <c r="X12" s="2" t="s">
        <v>107</v>
      </c>
      <c r="Y12" s="2" t="str">
        <f>IF(C16="Salaire mensuel","non","")</f>
        <v/>
      </c>
      <c r="Z12" s="188">
        <f>IF(AND(G13="ordinaire",T15=0,T16=0),119.9%,0)</f>
        <v>0</v>
      </c>
      <c r="AA12" s="59"/>
      <c r="AB12" s="59" t="s">
        <v>108</v>
      </c>
      <c r="AC12" s="64" t="s">
        <v>109</v>
      </c>
      <c r="AD12" s="59"/>
    </row>
    <row r="13" spans="1:35" s="2" customFormat="1" ht="12.75" customHeight="1" x14ac:dyDescent="0.3">
      <c r="A13" s="2" t="s">
        <v>110</v>
      </c>
      <c r="C13" s="378"/>
      <c r="E13" s="2" t="s">
        <v>111</v>
      </c>
      <c r="G13" s="381" t="s">
        <v>73</v>
      </c>
      <c r="I13" s="5" t="str">
        <f>IF(G10="oui","Salaire horaire II (avec Suppl. vacances)","")</f>
        <v/>
      </c>
      <c r="L13" s="4"/>
      <c r="M13" s="249"/>
      <c r="S13" s="253" t="s">
        <v>112</v>
      </c>
      <c r="T13" s="388"/>
      <c r="U13" s="257" t="s">
        <v>103</v>
      </c>
      <c r="W13" s="425"/>
      <c r="X13" s="2" t="s">
        <v>113</v>
      </c>
      <c r="Y13" s="2">
        <f>IF(C17="oui",M8/12,0)</f>
        <v>0</v>
      </c>
      <c r="Z13" s="188">
        <f>IF(OR(T15&gt;0,T16&gt;0),129.2%,0)</f>
        <v>0</v>
      </c>
      <c r="AA13" s="59"/>
      <c r="AB13" s="59" t="s">
        <v>114</v>
      </c>
      <c r="AC13" s="59" t="s">
        <v>83</v>
      </c>
      <c r="AD13" s="59"/>
    </row>
    <row r="14" spans="1:35" s="2" customFormat="1" ht="12.75" customHeight="1" x14ac:dyDescent="0.3">
      <c r="A14" s="2" t="s">
        <v>115</v>
      </c>
      <c r="C14" s="379"/>
      <c r="E14" s="2" t="s">
        <v>116</v>
      </c>
      <c r="F14" s="466"/>
      <c r="G14" s="466"/>
      <c r="I14" s="4" t="str">
        <f>IF(G10="oui","Suppl. vacances","")</f>
        <v/>
      </c>
      <c r="K14" s="4" t="str">
        <f>IF($G$10="oui",(IF(L14=8.33%,"4 semaines","5 semaines")),"")</f>
        <v/>
      </c>
      <c r="L14" s="48" t="str">
        <f>IF(G10="oui",(IF(OR((DATEDIF($F$7,$C$21,"Y")&lt;20),(DATEDIF($F$7,$C$21,"Y")&gt;49)),10.64%,8.33%)),"")</f>
        <v/>
      </c>
      <c r="M14" s="247" t="str">
        <f>IF(G10="oui",M13/(1+L14)*L14,"")</f>
        <v/>
      </c>
      <c r="S14" s="258"/>
      <c r="T14" s="1"/>
      <c r="U14" s="254"/>
      <c r="W14" s="425"/>
      <c r="Y14" s="157">
        <f>M8</f>
        <v>0</v>
      </c>
      <c r="Z14" s="188">
        <f>SUM(Z11:Z13)</f>
        <v>0</v>
      </c>
      <c r="AA14" s="59"/>
      <c r="AB14" s="58" t="s">
        <v>117</v>
      </c>
      <c r="AC14" s="59" t="s">
        <v>90</v>
      </c>
      <c r="AD14" s="59"/>
    </row>
    <row r="15" spans="1:35" s="2" customFormat="1" ht="12.75" customHeight="1" x14ac:dyDescent="0.3">
      <c r="A15" s="2" t="s">
        <v>118</v>
      </c>
      <c r="C15" s="379"/>
      <c r="E15" s="2" t="s">
        <v>119</v>
      </c>
      <c r="F15" s="466"/>
      <c r="G15" s="466"/>
      <c r="I15" s="5" t="str">
        <f>IF(G10="oui","Salaire horaire II (sans Suppl. vacances)","")</f>
        <v/>
      </c>
      <c r="M15" s="248" t="str">
        <f>IF(G10="oui",M13-M14,"")</f>
        <v/>
      </c>
      <c r="S15" s="253" t="s">
        <v>120</v>
      </c>
      <c r="T15" s="389"/>
      <c r="U15" s="259" t="s">
        <v>121</v>
      </c>
      <c r="W15" s="1"/>
      <c r="Y15" s="2">
        <f>SUM(Y13:Y14)</f>
        <v>0</v>
      </c>
      <c r="Z15" s="59"/>
      <c r="AA15" s="59"/>
      <c r="AB15" s="59" t="s">
        <v>122</v>
      </c>
      <c r="AD15" s="59"/>
    </row>
    <row r="16" spans="1:35" s="2" customFormat="1" ht="12.75" customHeight="1" thickBot="1" x14ac:dyDescent="0.35">
      <c r="A16" s="2" t="s">
        <v>123</v>
      </c>
      <c r="C16" s="378" t="s">
        <v>73</v>
      </c>
      <c r="E16" s="2" t="s">
        <v>124</v>
      </c>
      <c r="F16" s="466"/>
      <c r="G16" s="466"/>
      <c r="S16" s="260" t="s">
        <v>125</v>
      </c>
      <c r="T16" s="390"/>
      <c r="U16" s="261" t="s">
        <v>126</v>
      </c>
      <c r="W16" s="1"/>
      <c r="Z16" s="59"/>
      <c r="AA16" s="59"/>
      <c r="AB16" s="58" t="s">
        <v>127</v>
      </c>
      <c r="AC16" s="59"/>
      <c r="AD16" s="59"/>
    </row>
    <row r="17" spans="1:37" s="2" customFormat="1" ht="12.75" customHeight="1" thickBot="1" x14ac:dyDescent="0.35">
      <c r="A17" s="2" t="str">
        <f>IF(C16="Salaire mensuel","13ème salaire","")</f>
        <v/>
      </c>
      <c r="C17" s="329"/>
      <c r="D17" s="176" t="str">
        <f>IF(C17&gt;1,"",IF(A17="13ème salaire","à choisir",""))</f>
        <v/>
      </c>
      <c r="E17" s="422" t="s">
        <v>128</v>
      </c>
      <c r="F17" s="423" t="str">
        <f>IF($F$7="","",IF($C$10="masculin",DATE(YEAR($F$7)+65,MONTH($F$7)+1,1),IF($C$10="féminin",DATE(YEAR($F$7)+64,MONTH($F$7)+1+VLOOKUP(YEAR($F$7),Grundlagen!$F$1:$G$26,2,TRUE),1),"")))</f>
        <v/>
      </c>
      <c r="H17" s="175"/>
      <c r="W17" s="1"/>
      <c r="X17" s="59"/>
      <c r="Y17" s="59"/>
      <c r="Z17" s="59"/>
      <c r="AA17" s="59"/>
      <c r="AB17" s="59" t="s">
        <v>129</v>
      </c>
      <c r="AC17" s="59"/>
      <c r="AD17" s="59"/>
    </row>
    <row r="18" spans="1:37" s="2" customFormat="1" ht="12" customHeight="1" x14ac:dyDescent="0.3">
      <c r="H18" s="175"/>
      <c r="M18" s="175"/>
      <c r="S18" s="484" t="s">
        <v>130</v>
      </c>
      <c r="T18" s="485"/>
      <c r="U18" s="486"/>
      <c r="V18" s="340"/>
      <c r="X18" s="158"/>
      <c r="Y18" s="159"/>
      <c r="Z18" s="59"/>
      <c r="AA18" s="59"/>
      <c r="AB18" s="59" t="s">
        <v>131</v>
      </c>
      <c r="AC18" s="59"/>
      <c r="AD18" s="59"/>
      <c r="AE18" s="59"/>
    </row>
    <row r="19" spans="1:37" s="2" customFormat="1" ht="14" x14ac:dyDescent="0.3">
      <c r="A19" s="41" t="s">
        <v>132</v>
      </c>
      <c r="B19" s="41"/>
      <c r="C19" s="52"/>
      <c r="D19" s="52"/>
      <c r="E19" s="52"/>
      <c r="F19" s="52"/>
      <c r="G19" s="52"/>
      <c r="H19" s="52"/>
      <c r="I19" s="41" t="str">
        <f>$A$19</f>
        <v>Décompte de salaire</v>
      </c>
      <c r="J19" s="41"/>
      <c r="K19" s="52"/>
      <c r="L19" s="52"/>
      <c r="M19" s="52"/>
      <c r="N19" s="52"/>
      <c r="O19" s="52"/>
      <c r="P19" s="52"/>
      <c r="Q19" s="52"/>
      <c r="S19" s="262"/>
      <c r="U19" s="263"/>
      <c r="X19" s="158"/>
      <c r="Y19" s="159"/>
      <c r="Z19" s="59"/>
      <c r="AA19" s="59"/>
      <c r="AB19" s="59" t="s">
        <v>133</v>
      </c>
      <c r="AC19" s="59"/>
      <c r="AD19" s="59"/>
      <c r="AE19" s="59"/>
    </row>
    <row r="20" spans="1:37" s="2" customFormat="1" ht="5.15" customHeight="1" thickBot="1" x14ac:dyDescent="0.3">
      <c r="C20" s="80"/>
      <c r="D20" s="81"/>
      <c r="E20" s="5"/>
      <c r="F20" s="5"/>
      <c r="G20" s="5"/>
      <c r="H20" s="49"/>
      <c r="I20" s="49"/>
      <c r="K20" s="49"/>
      <c r="S20" s="481">
        <f>IF(F7="",0,IF(OR(G13="ordinaire",G13="à choisir"),0,(IF(G13="simplifiée",IF(OR($F$9="Conjoint-e",$F$9="Enfant",$F$9="Partenariat enrégistré"),"Ni la conjointe ou le conjoint de l’employeur ni ses enfants ne peuvent utiliser la procédure de décompte AVS simplifiée.",IF(OR(Q38+Q39&gt;Grundlagen!$B$8-0.01,U2&gt;Grundlagen!$B$8-0.01),"La procédure de décompte simplifiée ne peut pas être appliquée si le salaire annuel est supérieur à CHF"&amp;Grundlagen!$B$8&amp;"!",IF(AA6="oui","La procédure de décompte simplifiée ne peut pas être appliquée si la masse salariale totale est supérieure à CHF "&amp;Grundlagen!$B$9&amp;"!",IF(DATEDIF($F$7,$A$21,"Y")&lt;19,0,IF(G13="ordinaire",0,0)))))))))</f>
        <v>0</v>
      </c>
      <c r="T20" s="482"/>
      <c r="U20" s="483"/>
      <c r="V20" s="370"/>
      <c r="X20" s="158"/>
      <c r="Y20" s="159"/>
      <c r="Z20" s="59"/>
      <c r="AA20" s="59"/>
      <c r="AB20" s="59"/>
      <c r="AD20" s="59"/>
      <c r="AE20" s="59"/>
    </row>
    <row r="21" spans="1:37" s="2" customFormat="1" ht="15" customHeight="1" x14ac:dyDescent="0.25">
      <c r="A21" s="310">
        <f>Grundlagen!$C$1</f>
        <v>46387</v>
      </c>
      <c r="B21" s="269"/>
      <c r="C21" s="82">
        <f>Grundlagen!$B$1</f>
        <v>46023</v>
      </c>
      <c r="D21" s="82">
        <f>DATE(YEAR(C21),MONTH(C21)+1,1)</f>
        <v>46054</v>
      </c>
      <c r="E21" s="82">
        <f t="shared" ref="E21:H21" si="0">DATE(YEAR(D21),MONTH(D21)+1,1)</f>
        <v>46082</v>
      </c>
      <c r="F21" s="82">
        <f t="shared" si="0"/>
        <v>46113</v>
      </c>
      <c r="G21" s="82">
        <f t="shared" si="0"/>
        <v>46143</v>
      </c>
      <c r="H21" s="69">
        <f t="shared" si="0"/>
        <v>46174</v>
      </c>
      <c r="I21" s="310">
        <f t="shared" ref="I21:I22" si="1">A21</f>
        <v>46387</v>
      </c>
      <c r="J21" s="269"/>
      <c r="K21" s="82">
        <f>DATE(YEAR(H21),MONTH(H21)+1,1)</f>
        <v>46204</v>
      </c>
      <c r="L21" s="82">
        <f>DATE(YEAR(K21),MONTH(K21)+1,1)</f>
        <v>46235</v>
      </c>
      <c r="M21" s="82">
        <f t="shared" ref="M21:P21" si="2">DATE(YEAR(L21),MONTH(L21)+1,1)</f>
        <v>46266</v>
      </c>
      <c r="N21" s="82">
        <f t="shared" si="2"/>
        <v>46296</v>
      </c>
      <c r="O21" s="82">
        <f t="shared" si="2"/>
        <v>46327</v>
      </c>
      <c r="P21" s="69">
        <f t="shared" si="2"/>
        <v>46357</v>
      </c>
      <c r="Q21" s="97" t="s">
        <v>134</v>
      </c>
      <c r="S21" s="481"/>
      <c r="T21" s="482"/>
      <c r="U21" s="483"/>
      <c r="V21" s="370"/>
      <c r="W21" s="2">
        <f>IF(S20=0,0,5)</f>
        <v>0</v>
      </c>
      <c r="X21" s="158"/>
      <c r="Y21" s="159"/>
      <c r="Z21" s="59"/>
      <c r="AA21" s="59"/>
      <c r="AB21" s="59"/>
      <c r="AC21" s="59"/>
      <c r="AD21" s="59"/>
      <c r="AE21" s="59"/>
    </row>
    <row r="22" spans="1:37" s="2" customFormat="1" ht="15" customHeight="1" x14ac:dyDescent="0.25">
      <c r="A22" s="311" t="str">
        <f>IF($C$16="Salaire horaire","",IF(C16="à choisir","","Salaire mensuel"))</f>
        <v/>
      </c>
      <c r="B22" s="270" t="str">
        <f>IF(A22="Salaire mensuel","CHF"," ")</f>
        <v xml:space="preserve"> </v>
      </c>
      <c r="C22" s="286">
        <f t="shared" ref="C22:H22" si="3">IF(OR($C$16="Salaire horaire",$C$16="à choisir"),0,IF($C$16="Salaire mensuel",(IF(OR(MONTH(IF($C$14&lt;$C$21,$C$21,$C$14))&gt;MONTH(C21),MONTH(IF($C$15="",$A$21,$C$15))&lt;MONTH(C21)),0,$M$8))))</f>
        <v>0</v>
      </c>
      <c r="D22" s="286">
        <f t="shared" si="3"/>
        <v>0</v>
      </c>
      <c r="E22" s="286">
        <f t="shared" si="3"/>
        <v>0</v>
      </c>
      <c r="F22" s="286">
        <f t="shared" si="3"/>
        <v>0</v>
      </c>
      <c r="G22" s="286">
        <f t="shared" si="3"/>
        <v>0</v>
      </c>
      <c r="H22" s="287">
        <f t="shared" si="3"/>
        <v>0</v>
      </c>
      <c r="I22" s="312" t="str">
        <f t="shared" si="1"/>
        <v/>
      </c>
      <c r="J22" s="270" t="str">
        <f>IF(I22="Salaire mensuel","CHF"," ")</f>
        <v xml:space="preserve"> </v>
      </c>
      <c r="K22" s="286">
        <f t="shared" ref="K22:P22" si="4">IF(OR($C$16="Salaire horaire",$C$16="à choisir"),0,IF($C$16="Salaire mensuel",(IF(OR(MONTH(IF($C$14&lt;$C$21,$C$21,$C$14))&gt;MONTH(K21),MONTH(IF($C$15="",$A$21,$C$15))&lt;MONTH(K21)),0,$M$8))))</f>
        <v>0</v>
      </c>
      <c r="L22" s="286">
        <f t="shared" si="4"/>
        <v>0</v>
      </c>
      <c r="M22" s="286">
        <f t="shared" si="4"/>
        <v>0</v>
      </c>
      <c r="N22" s="286">
        <f t="shared" si="4"/>
        <v>0</v>
      </c>
      <c r="O22" s="286">
        <f t="shared" si="4"/>
        <v>0</v>
      </c>
      <c r="P22" s="287">
        <f t="shared" si="4"/>
        <v>0</v>
      </c>
      <c r="Q22" s="302">
        <f t="shared" ref="Q22" si="5">ROUND((SUM(C22:H22)+SUM(K22:P22))*20,0)/20</f>
        <v>0</v>
      </c>
      <c r="S22" s="481"/>
      <c r="T22" s="482"/>
      <c r="U22" s="483"/>
      <c r="V22" s="370"/>
      <c r="X22" s="158"/>
      <c r="Y22" s="159"/>
      <c r="Z22" s="59"/>
      <c r="AA22" s="59"/>
      <c r="AB22" s="59"/>
      <c r="AC22" s="59"/>
      <c r="AD22" s="59"/>
      <c r="AE22" s="59"/>
    </row>
    <row r="23" spans="1:37" s="2" customFormat="1" ht="15" customHeight="1" x14ac:dyDescent="0.25">
      <c r="A23" s="311" t="str">
        <f>IF($C$16="Salaire horaire","",(IF($C$17="oui","13. Salaire mensuel","")))</f>
        <v/>
      </c>
      <c r="B23" s="270" t="str">
        <f>IF(A23="13. Salaire mensuel","CHF"," ")</f>
        <v xml:space="preserve"> </v>
      </c>
      <c r="C23" s="286">
        <f t="shared" ref="C23:H23" si="6">IF(OR($C$16="Salaire horaire",$C$16="à choisir"),0,(IF($C$17="oui",(C$22+C32+C33)/12,"")))</f>
        <v>0</v>
      </c>
      <c r="D23" s="288">
        <f t="shared" si="6"/>
        <v>0</v>
      </c>
      <c r="E23" s="288">
        <f t="shared" si="6"/>
        <v>0</v>
      </c>
      <c r="F23" s="288">
        <f t="shared" si="6"/>
        <v>0</v>
      </c>
      <c r="G23" s="288">
        <f t="shared" si="6"/>
        <v>0</v>
      </c>
      <c r="H23" s="287">
        <f t="shared" si="6"/>
        <v>0</v>
      </c>
      <c r="I23" s="312" t="str">
        <f t="shared" ref="I23:I52" si="7">A23</f>
        <v/>
      </c>
      <c r="J23" s="270" t="str">
        <f>IF(I23="13. Salaire mensuel","CHF"," ")</f>
        <v xml:space="preserve"> </v>
      </c>
      <c r="K23" s="288">
        <f t="shared" ref="K23:P23" si="8">IF(OR($C$16="Salaire horaire",$C$16="à choisir"),0,(IF($C$17="oui",(K$22+K32+K33)/12,"")))</f>
        <v>0</v>
      </c>
      <c r="L23" s="288">
        <f t="shared" si="8"/>
        <v>0</v>
      </c>
      <c r="M23" s="288">
        <f t="shared" si="8"/>
        <v>0</v>
      </c>
      <c r="N23" s="303">
        <f t="shared" si="8"/>
        <v>0</v>
      </c>
      <c r="O23" s="288">
        <f t="shared" si="8"/>
        <v>0</v>
      </c>
      <c r="P23" s="287">
        <f t="shared" si="8"/>
        <v>0</v>
      </c>
      <c r="Q23" s="240">
        <f t="shared" ref="Q23:Q37" si="9">ROUND((SUM(C23:H23)+SUM(K23:P23))*20,0)/20</f>
        <v>0</v>
      </c>
      <c r="S23" s="262"/>
      <c r="U23" s="263"/>
      <c r="Y23" s="58"/>
      <c r="Z23" s="58"/>
      <c r="AA23" s="58"/>
      <c r="AB23" s="58"/>
      <c r="AC23" s="58"/>
      <c r="AD23" s="58"/>
      <c r="AE23" s="58"/>
      <c r="AF23" s="58"/>
    </row>
    <row r="24" spans="1:37" s="2" customFormat="1" ht="15" customHeight="1" x14ac:dyDescent="0.25">
      <c r="A24" s="444" t="str">
        <f>IF(G11="oui","Nombre d'heures 
de garde","")</f>
        <v/>
      </c>
      <c r="B24" s="447" t="str">
        <f>IF(A24="Nombre d'heures 
de garde","h"," ")</f>
        <v xml:space="preserve"> </v>
      </c>
      <c r="C24" s="288"/>
      <c r="D24" s="288"/>
      <c r="E24" s="288"/>
      <c r="F24" s="288"/>
      <c r="G24" s="288"/>
      <c r="H24" s="287"/>
      <c r="I24" s="311" t="str">
        <f t="shared" si="7"/>
        <v/>
      </c>
      <c r="J24" s="330" t="str">
        <f>B24</f>
        <v xml:space="preserve"> </v>
      </c>
      <c r="K24" s="288"/>
      <c r="L24" s="288"/>
      <c r="M24" s="288"/>
      <c r="N24" s="288"/>
      <c r="O24" s="288"/>
      <c r="P24" s="287"/>
      <c r="Q24" s="304">
        <f t="shared" si="9"/>
        <v>0</v>
      </c>
      <c r="S24" s="481">
        <f>IF(OR(AND(Z6="simplifiée",'PA 2'!Z6="simplifiée",'PA 3'!Z6="simplifiée",'PA 4'!Z6="simplifiée",'PA 5'!Z6="simplifiée",'PA 6'!Z6="simplifiée",'PA 7'!Z6="simplifiée",'PA 8'!Z6="simplifiée",'PA 9'!Z6="simplifiée"),(AND(Z7="ordinaire",'PA 2'!Z7="ordinaire",'PA 3'!Z7="ordinaire",'PA 4'!Z7="ordinaire",'PA 5'!Z7="ordinaire",'PA 6'!Z7="ordinaire",'PA 7'!Z7="ordinaire",'PA 8'!Z7="ordinaire",'PA 9'!Z7="ordinaire"))),0,"ATTENTION: la même procédure de décompte AVS doit être utilisée pour tous les prestataires d’assistance!")</f>
        <v>0</v>
      </c>
      <c r="T24" s="482"/>
      <c r="U24" s="483"/>
      <c r="V24" s="370"/>
      <c r="Y24" s="58"/>
      <c r="Z24" s="58"/>
      <c r="AA24" s="58"/>
      <c r="AB24" s="58"/>
      <c r="AC24" s="58"/>
      <c r="AD24" s="58"/>
      <c r="AE24" s="58"/>
      <c r="AF24" s="58"/>
    </row>
    <row r="25" spans="1:37" s="6" customFormat="1" ht="13" x14ac:dyDescent="0.3">
      <c r="A25" s="450" t="str">
        <f>IF(AND(C16="Salaire mensuel",G12="oui"),"Nombre d'engagements de nuit",IF(P10&gt;0.1,"Nombre d'engagements de nuit",""))</f>
        <v/>
      </c>
      <c r="B25" s="270" t="str">
        <f>IF(A25="Nombre d'engagements de nuit","Nb."," ")</f>
        <v xml:space="preserve"> </v>
      </c>
      <c r="C25" s="289"/>
      <c r="D25" s="289"/>
      <c r="E25" s="289"/>
      <c r="F25" s="289"/>
      <c r="G25" s="289"/>
      <c r="H25" s="290"/>
      <c r="I25" s="450" t="str">
        <f t="shared" si="7"/>
        <v/>
      </c>
      <c r="J25" s="270" t="str">
        <f>B25</f>
        <v xml:space="preserve"> </v>
      </c>
      <c r="K25" s="289"/>
      <c r="L25" s="289"/>
      <c r="M25" s="289"/>
      <c r="N25" s="289"/>
      <c r="O25" s="289"/>
      <c r="P25" s="305"/>
      <c r="Q25" s="302">
        <f t="shared" si="9"/>
        <v>0</v>
      </c>
      <c r="R25" s="76"/>
      <c r="S25" s="481"/>
      <c r="T25" s="482"/>
      <c r="U25" s="483"/>
      <c r="V25" s="370"/>
      <c r="W25" s="2">
        <f>IF(S24&gt;1,5,0)</f>
        <v>0</v>
      </c>
      <c r="X25" s="102"/>
      <c r="Y25" s="99"/>
      <c r="Z25" s="100"/>
      <c r="AA25" s="77"/>
      <c r="AB25" s="77"/>
      <c r="AC25" s="77"/>
      <c r="AD25" s="77"/>
      <c r="AE25" s="77"/>
      <c r="AF25" s="77"/>
    </row>
    <row r="26" spans="1:37" s="6" customFormat="1" ht="15" customHeight="1" x14ac:dyDescent="0.3">
      <c r="A26" s="312" t="str">
        <f>IF(AND($C$16="Salaire mensuel",$G$12="oui"),"Nombre d'heures",IF(C16="Salaire horaire",IF(G10="oui","Nombre d'heures I","Nombre d'heures"),""))</f>
        <v/>
      </c>
      <c r="B26" s="271" t="str">
        <f>IF(OR(A26="Nombre d'heures Standard",A26="Nombre d'heures",A26="Nombre d'heures I"),"h"," ")</f>
        <v xml:space="preserve"> </v>
      </c>
      <c r="C26" s="288"/>
      <c r="D26" s="288"/>
      <c r="E26" s="288"/>
      <c r="F26" s="288"/>
      <c r="G26" s="288"/>
      <c r="H26" s="287"/>
      <c r="I26" s="312" t="str">
        <f t="shared" si="7"/>
        <v/>
      </c>
      <c r="J26" s="271" t="str">
        <f>IF(OR(I26="Nombre d'heures Standard",I26="Nombre d'heures",I26="Nombre d'heures I"),"h"," ")</f>
        <v xml:space="preserve"> </v>
      </c>
      <c r="K26" s="288"/>
      <c r="L26" s="288"/>
      <c r="M26" s="288"/>
      <c r="N26" s="288"/>
      <c r="O26" s="288"/>
      <c r="P26" s="287"/>
      <c r="Q26" s="304">
        <f t="shared" si="9"/>
        <v>0</v>
      </c>
      <c r="R26" s="76"/>
      <c r="S26" s="481"/>
      <c r="T26" s="482"/>
      <c r="U26" s="483"/>
      <c r="V26" s="370"/>
      <c r="W26" s="76"/>
      <c r="X26" s="102"/>
      <c r="Y26" s="99"/>
      <c r="Z26" s="59"/>
      <c r="AA26" s="77"/>
      <c r="AB26" s="77"/>
      <c r="AC26" s="77"/>
      <c r="AD26" s="77"/>
      <c r="AE26" s="77"/>
      <c r="AF26" s="77"/>
    </row>
    <row r="27" spans="1:37" s="6" customFormat="1" ht="15" customHeight="1" x14ac:dyDescent="0.3">
      <c r="A27" s="312" t="str">
        <f>IF($C$16="Salaire horaire",IF(G10="oui","Salaire horaire I","Salaire horaire"),"")</f>
        <v/>
      </c>
      <c r="B27" s="270" t="str">
        <f>IF(OR(A27="Salaire horaire Standard",A27="Salaire horaire",A27="Salaire horaire I"),"CHF"," ")</f>
        <v xml:space="preserve"> </v>
      </c>
      <c r="C27" s="237" t="str">
        <f t="shared" ref="C27:H27" si="10">IF($C$16="Salaire horaire",(IF(OR((DATEDIF($F$7,C21,"Y")&lt;20),(DATEDIF($F$7,C21,"Y")&gt;49)),$M$8/110.64%*(C26+C24*$P$7+C25*$P$10),$M$8/108.33%*(C26+C24*$P$7+C25*$P$10))),"")</f>
        <v/>
      </c>
      <c r="D27" s="237" t="str">
        <f t="shared" si="10"/>
        <v/>
      </c>
      <c r="E27" s="237" t="str">
        <f t="shared" si="10"/>
        <v/>
      </c>
      <c r="F27" s="237" t="str">
        <f t="shared" si="10"/>
        <v/>
      </c>
      <c r="G27" s="237" t="str">
        <f t="shared" si="10"/>
        <v/>
      </c>
      <c r="H27" s="238" t="str">
        <f t="shared" si="10"/>
        <v/>
      </c>
      <c r="I27" s="312" t="str">
        <f t="shared" si="7"/>
        <v/>
      </c>
      <c r="J27" s="270" t="str">
        <f>IF(OR(I27="Salaire horaire Standard",I27="Salaire horaire",I27="Salaire horaire I"),"CHF"," ")</f>
        <v xml:space="preserve"> </v>
      </c>
      <c r="K27" s="237" t="str">
        <f t="shared" ref="K27:P27" si="11">IF($C$16="Salaire horaire",(IF(OR((DATEDIF($F$7,K21,"Y")&lt;20),(DATEDIF($F$7,K21,"Y")&gt;49)),$M$8/110.64%*(K26+K24*$P$7+K25*$P$10),$M$8/108.33%*(K26+K24*$P$7+K25*$P$10))),"")</f>
        <v/>
      </c>
      <c r="L27" s="237" t="str">
        <f t="shared" si="11"/>
        <v/>
      </c>
      <c r="M27" s="237" t="str">
        <f t="shared" si="11"/>
        <v/>
      </c>
      <c r="N27" s="237" t="str">
        <f t="shared" si="11"/>
        <v/>
      </c>
      <c r="O27" s="237" t="str">
        <f t="shared" si="11"/>
        <v/>
      </c>
      <c r="P27" s="238" t="str">
        <f t="shared" si="11"/>
        <v/>
      </c>
      <c r="Q27" s="304">
        <f t="shared" si="9"/>
        <v>0</v>
      </c>
      <c r="R27" s="76"/>
      <c r="S27" s="262"/>
      <c r="T27" s="2"/>
      <c r="U27" s="263"/>
      <c r="V27" s="2"/>
      <c r="W27" s="76"/>
      <c r="X27" s="102"/>
      <c r="Y27" s="99"/>
      <c r="Z27" s="59"/>
      <c r="AA27" s="77"/>
      <c r="AB27" s="77"/>
      <c r="AC27" s="77"/>
      <c r="AD27" s="77"/>
      <c r="AE27" s="77"/>
      <c r="AF27" s="77"/>
    </row>
    <row r="28" spans="1:37" s="2" customFormat="1" ht="15" customHeight="1" x14ac:dyDescent="0.25">
      <c r="A28" s="312" t="str">
        <f>IF(G10="oui","Nombre d'heures II","")</f>
        <v/>
      </c>
      <c r="B28" s="271" t="str">
        <f>IF(OR(A28="Nombre d'heures Quali B",A28="Nombre d'heures II"),"h"," ")</f>
        <v xml:space="preserve"> </v>
      </c>
      <c r="C28" s="288"/>
      <c r="D28" s="288"/>
      <c r="E28" s="288"/>
      <c r="F28" s="288"/>
      <c r="G28" s="288"/>
      <c r="H28" s="287"/>
      <c r="I28" s="312" t="str">
        <f t="shared" si="7"/>
        <v/>
      </c>
      <c r="J28" s="271" t="str">
        <f>IF(OR(I28="Nombre d'heures Quali B",I28="Nombre d'heures II"),"h"," ")</f>
        <v xml:space="preserve"> </v>
      </c>
      <c r="K28" s="288"/>
      <c r="L28" s="288"/>
      <c r="M28" s="288"/>
      <c r="N28" s="303"/>
      <c r="O28" s="288"/>
      <c r="P28" s="287"/>
      <c r="Q28" s="304">
        <f t="shared" si="9"/>
        <v>0</v>
      </c>
      <c r="R28" s="78"/>
      <c r="S28" s="481">
        <f>IF(AND(AC6="oui",(G12="oui")),"ATTENTION: le salaire des proches ne doit pas ètre réglé avec la contribution d'assistance d l'AI",0)</f>
        <v>0</v>
      </c>
      <c r="T28" s="482"/>
      <c r="U28" s="483"/>
      <c r="V28" s="370"/>
      <c r="W28" s="78"/>
      <c r="X28" s="101"/>
      <c r="Y28" s="98"/>
    </row>
    <row r="29" spans="1:37" s="6" customFormat="1" ht="15" customHeight="1" x14ac:dyDescent="0.25">
      <c r="A29" s="312" t="str">
        <f>IF(G10="oui","Salaire horaire II","")</f>
        <v/>
      </c>
      <c r="B29" s="270" t="str">
        <f>IF(OR(A29="Salaire horaire Quali B",A29="Salaire horaire II"),"CHF"," ")</f>
        <v xml:space="preserve"> </v>
      </c>
      <c r="C29" s="237" t="str">
        <f t="shared" ref="C29:H29" si="12">IF($C$16="Salaire horaire",(IF(OR((DATEDIF($F$7,C21,"Y")&lt;20),(DATEDIF($F$7,C21,"Y")&gt;49)),$M$13/110.64%*(C28),$M$13/108.33%*(C28))),"")</f>
        <v/>
      </c>
      <c r="D29" s="237" t="str">
        <f t="shared" si="12"/>
        <v/>
      </c>
      <c r="E29" s="237" t="str">
        <f t="shared" si="12"/>
        <v/>
      </c>
      <c r="F29" s="237" t="str">
        <f t="shared" si="12"/>
        <v/>
      </c>
      <c r="G29" s="237" t="str">
        <f t="shared" si="12"/>
        <v/>
      </c>
      <c r="H29" s="238" t="str">
        <f t="shared" si="12"/>
        <v/>
      </c>
      <c r="I29" s="312" t="str">
        <f t="shared" si="7"/>
        <v/>
      </c>
      <c r="J29" s="270" t="str">
        <f>IF(OR(I29="Salaire horaire Quali B",I29="Salaire horaire II"),"CHF"," ")</f>
        <v xml:space="preserve"> </v>
      </c>
      <c r="K29" s="237" t="str">
        <f t="shared" ref="K29:P29" si="13">IF($C$16="Salaire horaire",(IF(OR((DATEDIF($F$7,K21,"Y")&lt;20),(DATEDIF($F$7,K21,"Y")&gt;49)),$M$13/110.64%*(K28),$M$13/108.33%*(K28))),"")</f>
        <v/>
      </c>
      <c r="L29" s="237" t="str">
        <f t="shared" si="13"/>
        <v/>
      </c>
      <c r="M29" s="237" t="str">
        <f t="shared" si="13"/>
        <v/>
      </c>
      <c r="N29" s="237" t="str">
        <f t="shared" si="13"/>
        <v/>
      </c>
      <c r="O29" s="237" t="str">
        <f t="shared" si="13"/>
        <v/>
      </c>
      <c r="P29" s="238" t="str">
        <f t="shared" si="13"/>
        <v/>
      </c>
      <c r="Q29" s="304">
        <f t="shared" si="9"/>
        <v>0</v>
      </c>
      <c r="R29" s="65"/>
      <c r="S29" s="481"/>
      <c r="T29" s="482"/>
      <c r="U29" s="483"/>
      <c r="V29" s="370"/>
      <c r="W29" s="2">
        <f>IF(S28&gt;1,5,0)</f>
        <v>0</v>
      </c>
      <c r="X29" s="103"/>
      <c r="Y29" s="98"/>
      <c r="Z29" s="59"/>
      <c r="AA29" s="59"/>
      <c r="AB29" s="59"/>
      <c r="AC29" s="59"/>
      <c r="AD29" s="59"/>
      <c r="AE29" s="59"/>
      <c r="AF29" s="59"/>
    </row>
    <row r="30" spans="1:37" s="6" customFormat="1" ht="15" customHeight="1" x14ac:dyDescent="0.25">
      <c r="A30" s="312" t="str">
        <f>IF($C$16="Salaire horaire","Supplément de vacances","")</f>
        <v/>
      </c>
      <c r="B30" s="270" t="str">
        <f>IF(A30="Supplément de vacances","CHF"," ")</f>
        <v xml:space="preserve"> </v>
      </c>
      <c r="C30" s="237">
        <f t="shared" ref="C30:H30" si="14">IF($C$16="Salaire horaire",(ROUND(IF(OR((DATEDIF($F$7,C$21,"Y")&lt;20),(DATEDIF($F$7,C$21,"Y")&gt;49)),(C$27+C$29)*10.64%,(C$27+C$29)*8.33%),2)),)</f>
        <v>0</v>
      </c>
      <c r="D30" s="237">
        <f t="shared" si="14"/>
        <v>0</v>
      </c>
      <c r="E30" s="237">
        <f t="shared" si="14"/>
        <v>0</v>
      </c>
      <c r="F30" s="237">
        <f t="shared" si="14"/>
        <v>0</v>
      </c>
      <c r="G30" s="237">
        <f t="shared" si="14"/>
        <v>0</v>
      </c>
      <c r="H30" s="238">
        <f t="shared" si="14"/>
        <v>0</v>
      </c>
      <c r="I30" s="312" t="str">
        <f t="shared" si="7"/>
        <v/>
      </c>
      <c r="J30" s="270" t="str">
        <f>IF(I30="Ferienzuschlag","CHF"," ")</f>
        <v xml:space="preserve"> </v>
      </c>
      <c r="K30" s="237">
        <f t="shared" ref="K30:P30" si="15">IF($C$16="Salaire horaire",(ROUND(IF(OR((DATEDIF($F$7,K$21,"Y")&lt;20),(DATEDIF($F$7,K$21,"Y")&gt;49)),(K$27+K$29)*10.64%,(K$27+K$29)*8.33%),2)),)</f>
        <v>0</v>
      </c>
      <c r="L30" s="237">
        <f t="shared" si="15"/>
        <v>0</v>
      </c>
      <c r="M30" s="237">
        <f t="shared" si="15"/>
        <v>0</v>
      </c>
      <c r="N30" s="237">
        <f t="shared" si="15"/>
        <v>0</v>
      </c>
      <c r="O30" s="237">
        <f t="shared" si="15"/>
        <v>0</v>
      </c>
      <c r="P30" s="238">
        <f t="shared" si="15"/>
        <v>0</v>
      </c>
      <c r="Q30" s="304">
        <f t="shared" si="9"/>
        <v>0</v>
      </c>
      <c r="R30" s="65"/>
      <c r="S30" s="481"/>
      <c r="T30" s="482"/>
      <c r="U30" s="483"/>
      <c r="V30" s="370"/>
      <c r="W30" s="65"/>
      <c r="X30" s="103"/>
      <c r="Y30" s="98"/>
      <c r="Z30" s="59"/>
      <c r="AA30" s="59"/>
      <c r="AB30" s="59"/>
      <c r="AC30" s="59"/>
      <c r="AD30" s="59"/>
      <c r="AE30" s="59"/>
      <c r="AF30" s="59"/>
    </row>
    <row r="31" spans="1:37" s="6" customFormat="1" x14ac:dyDescent="0.25">
      <c r="A31" s="313" t="s">
        <v>135</v>
      </c>
      <c r="B31" s="271" t="s">
        <v>136</v>
      </c>
      <c r="C31" s="382"/>
      <c r="D31" s="384"/>
      <c r="E31" s="384"/>
      <c r="F31" s="384"/>
      <c r="G31" s="384"/>
      <c r="H31" s="383"/>
      <c r="I31" s="313" t="str">
        <f t="shared" si="7"/>
        <v>Repas &amp; logement</v>
      </c>
      <c r="J31" s="271" t="s">
        <v>136</v>
      </c>
      <c r="K31" s="382"/>
      <c r="L31" s="382"/>
      <c r="M31" s="382"/>
      <c r="N31" s="382"/>
      <c r="O31" s="382"/>
      <c r="P31" s="383"/>
      <c r="Q31" s="83">
        <f t="shared" si="9"/>
        <v>0</v>
      </c>
      <c r="R31" s="65"/>
      <c r="S31" s="470">
        <f>IF(AND(M7+M13&gt;8,T11=0),"Remarque: à partir de 8 heures de travail effectives par semaine, l’employé doit avoir souscrit une assurance-accidents non professionnels!",0)</f>
        <v>0</v>
      </c>
      <c r="T31" s="471"/>
      <c r="U31" s="472"/>
      <c r="V31" s="369"/>
      <c r="W31" s="2"/>
      <c r="X31" s="103"/>
      <c r="Y31" s="98"/>
      <c r="Z31" s="59"/>
      <c r="AA31" s="59"/>
      <c r="AB31" s="59"/>
      <c r="AC31" s="59"/>
      <c r="AD31" s="59"/>
      <c r="AE31" s="59"/>
      <c r="AF31" s="59"/>
    </row>
    <row r="32" spans="1:37" s="6" customFormat="1" ht="34.5" x14ac:dyDescent="0.25">
      <c r="A32" s="313" t="s">
        <v>137</v>
      </c>
      <c r="B32" s="272" t="s">
        <v>136</v>
      </c>
      <c r="C32" s="382"/>
      <c r="D32" s="384"/>
      <c r="E32" s="384"/>
      <c r="F32" s="384"/>
      <c r="G32" s="384"/>
      <c r="H32" s="385"/>
      <c r="I32" s="313" t="str">
        <f t="shared" si="7"/>
        <v>Oblig. de verser le salaire (art. 324a CO) (soumis à l'AVS)</v>
      </c>
      <c r="J32" s="272" t="s">
        <v>136</v>
      </c>
      <c r="K32" s="384"/>
      <c r="L32" s="384"/>
      <c r="M32" s="384"/>
      <c r="N32" s="386"/>
      <c r="O32" s="384"/>
      <c r="P32" s="385"/>
      <c r="Q32" s="70">
        <f t="shared" si="9"/>
        <v>0</v>
      </c>
      <c r="R32" s="65"/>
      <c r="S32" s="470"/>
      <c r="T32" s="471"/>
      <c r="U32" s="472"/>
      <c r="V32" s="369"/>
      <c r="W32" s="2">
        <f>IF(S31&gt;1,1,0)</f>
        <v>0</v>
      </c>
      <c r="X32" s="103"/>
      <c r="Y32" s="98"/>
      <c r="Z32" s="59"/>
      <c r="AA32" s="59"/>
      <c r="AB32" s="59"/>
      <c r="AC32" s="59"/>
      <c r="AD32" s="59"/>
      <c r="AE32" s="59"/>
      <c r="AF32" s="59"/>
      <c r="AK32" s="104"/>
    </row>
    <row r="33" spans="1:37" s="6" customFormat="1" ht="23" x14ac:dyDescent="0.25">
      <c r="A33" s="313" t="s">
        <v>138</v>
      </c>
      <c r="B33" s="272" t="s">
        <v>136</v>
      </c>
      <c r="C33" s="382"/>
      <c r="D33" s="384"/>
      <c r="E33" s="384"/>
      <c r="F33" s="384"/>
      <c r="G33" s="384"/>
      <c r="H33" s="385"/>
      <c r="I33" s="313" t="str">
        <f t="shared" si="7"/>
        <v>Oblig. de verser le salaire
(soumis à l'AVS)</v>
      </c>
      <c r="J33" s="272" t="s">
        <v>136</v>
      </c>
      <c r="K33" s="384"/>
      <c r="L33" s="384"/>
      <c r="M33" s="384"/>
      <c r="N33" s="386"/>
      <c r="O33" s="384"/>
      <c r="P33" s="385"/>
      <c r="Q33" s="70">
        <f t="shared" si="9"/>
        <v>0</v>
      </c>
      <c r="R33" s="65"/>
      <c r="S33" s="470">
        <f>IF(DATEDIF($F$7,C21,"Y")&lt;17,0,IF($C$67="oui",0,IF(AND(U2&gt;Grundlagen!$B$8-0.01,SUM(T15:T16)=0),"Remarque: si le salaire annuel brut AVS dépasse " &amp; Grundlagen!$B$8 &amp;" la personne doit être impérativement assurée auprès d’une institution de prévoyance professionnelle!",0)))</f>
        <v>0</v>
      </c>
      <c r="T33" s="471"/>
      <c r="U33" s="472"/>
      <c r="V33" s="369"/>
      <c r="W33" s="65"/>
      <c r="X33" s="103"/>
      <c r="Y33" s="98"/>
      <c r="Z33" s="59"/>
      <c r="AA33" s="59"/>
      <c r="AB33" s="59"/>
      <c r="AC33" s="59"/>
      <c r="AD33" s="59"/>
      <c r="AE33" s="59"/>
      <c r="AF33" s="59"/>
      <c r="AK33" s="104"/>
    </row>
    <row r="34" spans="1:37" s="6" customFormat="1" ht="23" x14ac:dyDescent="0.25">
      <c r="A34" s="314" t="s">
        <v>139</v>
      </c>
      <c r="B34" s="273" t="s">
        <v>136</v>
      </c>
      <c r="C34" s="382"/>
      <c r="D34" s="384"/>
      <c r="E34" s="384"/>
      <c r="F34" s="384"/>
      <c r="G34" s="384"/>
      <c r="H34" s="385"/>
      <c r="I34" s="314" t="str">
        <f t="shared" si="7"/>
        <v>Allocation maternité / militaire (soumis à l'AVS)</v>
      </c>
      <c r="J34" s="273" t="s">
        <v>136</v>
      </c>
      <c r="K34" s="384"/>
      <c r="L34" s="384"/>
      <c r="M34" s="384"/>
      <c r="N34" s="386"/>
      <c r="O34" s="384"/>
      <c r="P34" s="385"/>
      <c r="Q34" s="70">
        <f t="shared" si="9"/>
        <v>0</v>
      </c>
      <c r="R34" s="57"/>
      <c r="S34" s="470"/>
      <c r="T34" s="471"/>
      <c r="U34" s="472"/>
      <c r="V34" s="369"/>
      <c r="W34" s="2">
        <f>IF(S33&gt;1,1,0)</f>
        <v>0</v>
      </c>
      <c r="X34" s="101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</row>
    <row r="35" spans="1:37" s="2" customFormat="1" ht="23" x14ac:dyDescent="0.25">
      <c r="A35" s="314" t="s">
        <v>140</v>
      </c>
      <c r="B35" s="273" t="s">
        <v>136</v>
      </c>
      <c r="C35" s="382"/>
      <c r="D35" s="384"/>
      <c r="E35" s="384"/>
      <c r="F35" s="384"/>
      <c r="G35" s="384"/>
      <c r="H35" s="385"/>
      <c r="I35" s="314" t="str">
        <f t="shared" si="7"/>
        <v>Indemnité d'assurance
(non soumis AVS)</v>
      </c>
      <c r="J35" s="273" t="s">
        <v>136</v>
      </c>
      <c r="K35" s="384"/>
      <c r="L35" s="384"/>
      <c r="M35" s="384"/>
      <c r="N35" s="386"/>
      <c r="O35" s="384"/>
      <c r="P35" s="385"/>
      <c r="Q35" s="70">
        <f t="shared" si="9"/>
        <v>0</v>
      </c>
      <c r="R35" s="57"/>
      <c r="S35" s="470"/>
      <c r="T35" s="471"/>
      <c r="U35" s="472"/>
      <c r="V35" s="369"/>
      <c r="W35" s="57"/>
      <c r="X35" s="101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</row>
    <row r="36" spans="1:37" s="2" customFormat="1" ht="15" customHeight="1" x14ac:dyDescent="0.25">
      <c r="A36" s="312" t="s">
        <v>141</v>
      </c>
      <c r="B36" s="271" t="s">
        <v>136</v>
      </c>
      <c r="C36" s="382"/>
      <c r="D36" s="384"/>
      <c r="E36" s="384"/>
      <c r="F36" s="384"/>
      <c r="G36" s="384"/>
      <c r="H36" s="385"/>
      <c r="I36" s="312" t="str">
        <f t="shared" si="7"/>
        <v>Allocations familiales</v>
      </c>
      <c r="J36" s="271" t="s">
        <v>136</v>
      </c>
      <c r="K36" s="384"/>
      <c r="L36" s="384"/>
      <c r="M36" s="384"/>
      <c r="N36" s="386"/>
      <c r="O36" s="384"/>
      <c r="P36" s="385"/>
      <c r="Q36" s="70">
        <f t="shared" si="9"/>
        <v>0</v>
      </c>
      <c r="R36" s="57"/>
      <c r="S36" s="470">
        <f>IF(M8="",0,IF($C$16="Salaire horaire",(IF(AC6="non",IF(AND(AC6="non",AD7="oui"),0,"ATTENTION: le modèle bernois reconnaît un salaire horaire minimum de CHF 21.60 et maximum de CHF 56.50 pour les personnes autres que les proches."),IF(AND(AC6="oui",AD6="oui"),0,"ATTENTION: le modèle bernois reconnaît un salaire horaire minimum de CHF 21.60 pour les proches."))),(IF(AC6="non",IF(AND(AC6="non",AD7="oui"),(IF(AD8="oui","ATTENTION: pour les personnes autres que les proches, le modèle bernois reconnaît un salaire mensuel maximum de CHF 9'500 + 13e salaire ou de CHF 10'290 sans 13e salaire. Veuillez contrôler le taux d’occupation.",0)),"ATTENTION: pour les personnes autres que les proches, le modèle bernois reconnaît un salaire mensuel minimum de CHF 3'630 + 13e salaire ou de CHF 3'930 sans 13e salaire. Veuillez contrôler le taux d’occupation."),IF(AND(AC6="oui",AD6="oui"),0,"ATTENTION: pour les proches, le modèle bernois reconnaît un salaire mensuel de CHF 3'630 + 13e salaire ou de CHF 3'930 sans 13e salaire. Veuillez contrôler le taux d’occupation.")))))</f>
        <v>0</v>
      </c>
      <c r="T36" s="471"/>
      <c r="U36" s="472"/>
      <c r="V36" s="369"/>
      <c r="W36" s="57"/>
      <c r="X36" s="105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</row>
    <row r="37" spans="1:37" s="2" customFormat="1" ht="15" customHeight="1" x14ac:dyDescent="0.25">
      <c r="A37" s="315" t="s">
        <v>142</v>
      </c>
      <c r="B37" s="274" t="s">
        <v>136</v>
      </c>
      <c r="C37" s="291">
        <f t="shared" ref="C37:H37" si="16">MROUND(IF($C$16="Salaire horaire",SUM(C27,C29,C30,C31,C32,C33,C34,C35,C36),SUM(C22,C23,C30,C31,C32,C33,C34,C35,C36)),0.05)</f>
        <v>0</v>
      </c>
      <c r="D37" s="291">
        <f t="shared" si="16"/>
        <v>0</v>
      </c>
      <c r="E37" s="291">
        <f t="shared" si="16"/>
        <v>0</v>
      </c>
      <c r="F37" s="291">
        <f t="shared" si="16"/>
        <v>0</v>
      </c>
      <c r="G37" s="291">
        <f t="shared" si="16"/>
        <v>0</v>
      </c>
      <c r="H37" s="242">
        <f t="shared" si="16"/>
        <v>0</v>
      </c>
      <c r="I37" s="315" t="str">
        <f t="shared" si="7"/>
        <v>Salaire brut</v>
      </c>
      <c r="J37" s="274" t="s">
        <v>136</v>
      </c>
      <c r="K37" s="291">
        <f t="shared" ref="K37:P37" si="17">MROUND(IF($C$16="Salaire horaire",SUM(K27,K29,K30,K31,K32,K33,K34,K35,K36),SUM(K22,K23,K30,K31,K32,K33,K34,K35,K36)),0.05)</f>
        <v>0</v>
      </c>
      <c r="L37" s="291">
        <f t="shared" si="17"/>
        <v>0</v>
      </c>
      <c r="M37" s="291">
        <f t="shared" si="17"/>
        <v>0</v>
      </c>
      <c r="N37" s="291">
        <f t="shared" si="17"/>
        <v>0</v>
      </c>
      <c r="O37" s="291">
        <f t="shared" si="17"/>
        <v>0</v>
      </c>
      <c r="P37" s="242">
        <f t="shared" si="17"/>
        <v>0</v>
      </c>
      <c r="Q37" s="242">
        <f t="shared" si="9"/>
        <v>0</v>
      </c>
      <c r="R37" s="57"/>
      <c r="S37" s="470"/>
      <c r="T37" s="471"/>
      <c r="U37" s="472"/>
      <c r="V37" s="369"/>
      <c r="W37" s="2">
        <f>IF(S36&gt;1,5,0)</f>
        <v>0</v>
      </c>
      <c r="X37" s="101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</row>
    <row r="38" spans="1:37" s="2" customFormat="1" ht="15" customHeight="1" x14ac:dyDescent="0.25">
      <c r="A38" s="312" t="s">
        <v>143</v>
      </c>
      <c r="B38" s="275" t="s">
        <v>136</v>
      </c>
      <c r="C38" s="404">
        <f>C$80</f>
        <v>0</v>
      </c>
      <c r="D38" s="404">
        <f t="shared" ref="D38:H38" si="18">D$80</f>
        <v>0</v>
      </c>
      <c r="E38" s="404">
        <f t="shared" si="18"/>
        <v>0</v>
      </c>
      <c r="F38" s="404">
        <f t="shared" si="18"/>
        <v>0</v>
      </c>
      <c r="G38" s="404">
        <f t="shared" si="18"/>
        <v>0</v>
      </c>
      <c r="H38" s="405">
        <f t="shared" si="18"/>
        <v>0</v>
      </c>
      <c r="I38" s="312" t="str">
        <f t="shared" si="7"/>
        <v>Franchise rentier AVS</v>
      </c>
      <c r="J38" s="275" t="s">
        <v>136</v>
      </c>
      <c r="K38" s="404">
        <f>K$80</f>
        <v>0</v>
      </c>
      <c r="L38" s="404">
        <f t="shared" ref="L38:P38" si="19">L$80</f>
        <v>0</v>
      </c>
      <c r="M38" s="404">
        <f t="shared" si="19"/>
        <v>0</v>
      </c>
      <c r="N38" s="404">
        <f t="shared" si="19"/>
        <v>0</v>
      </c>
      <c r="O38" s="404">
        <f t="shared" si="19"/>
        <v>0</v>
      </c>
      <c r="P38" s="405">
        <f t="shared" si="19"/>
        <v>0</v>
      </c>
      <c r="Q38" s="307">
        <f>SUM(C38:H38)+SUM(K38:P38)</f>
        <v>0</v>
      </c>
      <c r="R38" s="57"/>
      <c r="S38" s="470"/>
      <c r="T38" s="471"/>
      <c r="U38" s="472"/>
      <c r="V38" s="369"/>
      <c r="W38" s="57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</row>
    <row r="39" spans="1:37" s="6" customFormat="1" ht="15" customHeight="1" x14ac:dyDescent="0.25">
      <c r="A39" s="315" t="s">
        <v>144</v>
      </c>
      <c r="B39" s="274" t="s">
        <v>136</v>
      </c>
      <c r="C39" s="291">
        <f>C37-C36-C35-C38</f>
        <v>0</v>
      </c>
      <c r="D39" s="291">
        <f t="shared" ref="D39:H39" si="20">D37-D36-D35-D38</f>
        <v>0</v>
      </c>
      <c r="E39" s="291">
        <f t="shared" si="20"/>
        <v>0</v>
      </c>
      <c r="F39" s="291">
        <f t="shared" si="20"/>
        <v>0</v>
      </c>
      <c r="G39" s="291">
        <f t="shared" si="20"/>
        <v>0</v>
      </c>
      <c r="H39" s="242">
        <f t="shared" si="20"/>
        <v>0</v>
      </c>
      <c r="I39" s="315" t="str">
        <f t="shared" si="7"/>
        <v>AVS montant brut</v>
      </c>
      <c r="J39" s="274" t="s">
        <v>136</v>
      </c>
      <c r="K39" s="291">
        <f t="shared" ref="K39:P39" si="21">K37-K36-K35-K38</f>
        <v>0</v>
      </c>
      <c r="L39" s="291">
        <f t="shared" si="21"/>
        <v>0</v>
      </c>
      <c r="M39" s="291">
        <f t="shared" si="21"/>
        <v>0</v>
      </c>
      <c r="N39" s="306">
        <f t="shared" si="21"/>
        <v>0</v>
      </c>
      <c r="O39" s="291">
        <f t="shared" si="21"/>
        <v>0</v>
      </c>
      <c r="P39" s="242">
        <f t="shared" si="21"/>
        <v>0</v>
      </c>
      <c r="Q39" s="242">
        <f>ROUND((SUM(C39:H39)+SUM(K39:P39))*20,0)/20</f>
        <v>0</v>
      </c>
      <c r="R39" s="79"/>
      <c r="S39" s="470"/>
      <c r="T39" s="471"/>
      <c r="U39" s="472"/>
      <c r="V39" s="369"/>
      <c r="W39" s="79"/>
      <c r="X39" s="2"/>
      <c r="Y39" s="106"/>
      <c r="Z39" s="106"/>
      <c r="AA39" s="106"/>
      <c r="AB39" s="106"/>
      <c r="AC39" s="106"/>
      <c r="AD39" s="106"/>
      <c r="AE39" s="64"/>
      <c r="AF39" s="64"/>
    </row>
    <row r="40" spans="1:37" s="2" customFormat="1" ht="15" customHeight="1" thickBot="1" x14ac:dyDescent="0.3">
      <c r="A40" s="312" t="str">
        <f>CONCATENATE("AVS/AI/APG ",T8*100,"%")</f>
        <v>AVS/AI/APG 0%</v>
      </c>
      <c r="B40" s="276" t="s">
        <v>136</v>
      </c>
      <c r="C40" s="234">
        <f>C$39*-$T$8</f>
        <v>0</v>
      </c>
      <c r="D40" s="234">
        <f t="shared" ref="D40:H40" si="22">D$39*-$T$8</f>
        <v>0</v>
      </c>
      <c r="E40" s="234">
        <f t="shared" si="22"/>
        <v>0</v>
      </c>
      <c r="F40" s="234">
        <f t="shared" si="22"/>
        <v>0</v>
      </c>
      <c r="G40" s="234">
        <f t="shared" si="22"/>
        <v>0</v>
      </c>
      <c r="H40" s="235">
        <f t="shared" si="22"/>
        <v>0</v>
      </c>
      <c r="I40" s="327" t="str">
        <f t="shared" si="7"/>
        <v>AVS/AI/APG 0%</v>
      </c>
      <c r="J40" s="276" t="s">
        <v>136</v>
      </c>
      <c r="K40" s="234">
        <f t="shared" ref="K40:P40" si="23">K$39*-$T$8</f>
        <v>0</v>
      </c>
      <c r="L40" s="234">
        <f t="shared" si="23"/>
        <v>0</v>
      </c>
      <c r="M40" s="234">
        <f t="shared" si="23"/>
        <v>0</v>
      </c>
      <c r="N40" s="236">
        <f t="shared" si="23"/>
        <v>0</v>
      </c>
      <c r="O40" s="234">
        <f t="shared" si="23"/>
        <v>0</v>
      </c>
      <c r="P40" s="235">
        <f t="shared" si="23"/>
        <v>0</v>
      </c>
      <c r="Q40" s="239">
        <f t="shared" ref="Q40:Q48" si="24">ROUND((SUM(C40:H40)+SUM(K40:P40))*20,0)/20</f>
        <v>0</v>
      </c>
      <c r="R40" s="65"/>
      <c r="S40" s="470"/>
      <c r="T40" s="471"/>
      <c r="U40" s="472"/>
      <c r="V40" s="369"/>
      <c r="W40" s="65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</row>
    <row r="41" spans="1:37" s="6" customFormat="1" ht="15" customHeight="1" x14ac:dyDescent="0.25">
      <c r="A41" s="312" t="str">
        <f>CONCATENATE("AC ",T9*100,"%")</f>
        <v>AC 0%</v>
      </c>
      <c r="B41" s="271" t="s">
        <v>136</v>
      </c>
      <c r="C41" s="237">
        <f>IF(C$38&lt;&gt;0,0,C$39*$T$9*-1)</f>
        <v>0</v>
      </c>
      <c r="D41" s="237">
        <f t="shared" ref="D41:H41" si="25">IF(D$38&lt;&gt;0,0,D$39*$T$9*-1)</f>
        <v>0</v>
      </c>
      <c r="E41" s="237">
        <f t="shared" si="25"/>
        <v>0</v>
      </c>
      <c r="F41" s="237">
        <f t="shared" si="25"/>
        <v>0</v>
      </c>
      <c r="G41" s="237">
        <f t="shared" si="25"/>
        <v>0</v>
      </c>
      <c r="H41" s="238">
        <f t="shared" si="25"/>
        <v>0</v>
      </c>
      <c r="I41" s="327" t="str">
        <f t="shared" si="7"/>
        <v>AC 0%</v>
      </c>
      <c r="J41" s="271" t="s">
        <v>136</v>
      </c>
      <c r="K41" s="237">
        <f>IF(K$38&lt;&gt;0,0,K$39*$T$9*-1)</f>
        <v>0</v>
      </c>
      <c r="L41" s="237">
        <f t="shared" ref="L41:P41" si="26">IF(L$38&lt;&gt;0,0,L$39*$T$9*-1)</f>
        <v>0</v>
      </c>
      <c r="M41" s="237">
        <f t="shared" si="26"/>
        <v>0</v>
      </c>
      <c r="N41" s="237">
        <f t="shared" si="26"/>
        <v>0</v>
      </c>
      <c r="O41" s="237">
        <f t="shared" si="26"/>
        <v>0</v>
      </c>
      <c r="P41" s="238">
        <f t="shared" si="26"/>
        <v>0</v>
      </c>
      <c r="Q41" s="240">
        <f t="shared" si="24"/>
        <v>0</v>
      </c>
      <c r="R41" s="79"/>
      <c r="S41" s="487"/>
      <c r="T41" s="487"/>
      <c r="U41" s="487"/>
      <c r="V41" s="65"/>
      <c r="X41" s="2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</row>
    <row r="42" spans="1:37" s="2" customFormat="1" ht="15" customHeight="1" x14ac:dyDescent="0.25">
      <c r="A42" s="312" t="str">
        <f>IF(T11&lt;0.01,"ANP",(CONCATENATE("ANP ",T11*100,"%")))</f>
        <v>ANP</v>
      </c>
      <c r="B42" s="271" t="s">
        <v>136</v>
      </c>
      <c r="C42" s="382">
        <f t="shared" ref="C42:H42" si="27">(C$37-C$34-C$35-C$36)*-$T$11</f>
        <v>0</v>
      </c>
      <c r="D42" s="382">
        <f t="shared" si="27"/>
        <v>0</v>
      </c>
      <c r="E42" s="382">
        <f t="shared" si="27"/>
        <v>0</v>
      </c>
      <c r="F42" s="382">
        <f t="shared" si="27"/>
        <v>0</v>
      </c>
      <c r="G42" s="382">
        <f t="shared" si="27"/>
        <v>0</v>
      </c>
      <c r="H42" s="383">
        <f t="shared" si="27"/>
        <v>0</v>
      </c>
      <c r="I42" s="327" t="str">
        <f t="shared" si="7"/>
        <v>ANP</v>
      </c>
      <c r="J42" s="271" t="s">
        <v>136</v>
      </c>
      <c r="K42" s="382">
        <f t="shared" ref="K42:P42" si="28">(K$37-K$34-K$35-K$36)*-$T$11</f>
        <v>0</v>
      </c>
      <c r="L42" s="382">
        <f t="shared" si="28"/>
        <v>0</v>
      </c>
      <c r="M42" s="382">
        <f t="shared" si="28"/>
        <v>0</v>
      </c>
      <c r="N42" s="386">
        <f t="shared" si="28"/>
        <v>0</v>
      </c>
      <c r="O42" s="382">
        <f t="shared" si="28"/>
        <v>0</v>
      </c>
      <c r="P42" s="383">
        <f t="shared" si="28"/>
        <v>0</v>
      </c>
      <c r="Q42" s="240">
        <f t="shared" si="24"/>
        <v>0</v>
      </c>
      <c r="R42" s="65"/>
      <c r="S42" s="488"/>
      <c r="T42" s="488"/>
      <c r="U42" s="488"/>
      <c r="V42" s="79"/>
      <c r="W42" s="2">
        <f>IF(S41&gt;1,1,0)</f>
        <v>0</v>
      </c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</row>
    <row r="43" spans="1:37" s="2" customFormat="1" ht="15" customHeight="1" x14ac:dyDescent="0.25">
      <c r="A43" s="312" t="str">
        <f>IF(T13&lt;0.0000001,"IJM",(CONCATENATE("IJM ",T13*100,"%")))</f>
        <v>IJM</v>
      </c>
      <c r="B43" s="271" t="s">
        <v>136</v>
      </c>
      <c r="C43" s="382">
        <f t="shared" ref="C43:H43" si="29">(C$37-C$34-C$35-C$36)*-$T$13</f>
        <v>0</v>
      </c>
      <c r="D43" s="382">
        <f t="shared" si="29"/>
        <v>0</v>
      </c>
      <c r="E43" s="382">
        <f t="shared" si="29"/>
        <v>0</v>
      </c>
      <c r="F43" s="382">
        <f t="shared" si="29"/>
        <v>0</v>
      </c>
      <c r="G43" s="382">
        <f t="shared" si="29"/>
        <v>0</v>
      </c>
      <c r="H43" s="383">
        <f t="shared" si="29"/>
        <v>0</v>
      </c>
      <c r="I43" s="327" t="str">
        <f t="shared" si="7"/>
        <v>IJM</v>
      </c>
      <c r="J43" s="271" t="s">
        <v>136</v>
      </c>
      <c r="K43" s="382">
        <f t="shared" ref="K43:P43" si="30">(K$37-K$34-K$35-K$36)*-$T$13</f>
        <v>0</v>
      </c>
      <c r="L43" s="382">
        <f t="shared" si="30"/>
        <v>0</v>
      </c>
      <c r="M43" s="382">
        <f t="shared" si="30"/>
        <v>0</v>
      </c>
      <c r="N43" s="386">
        <f t="shared" si="30"/>
        <v>0</v>
      </c>
      <c r="O43" s="382">
        <f t="shared" si="30"/>
        <v>0</v>
      </c>
      <c r="P43" s="383">
        <f t="shared" si="30"/>
        <v>0</v>
      </c>
      <c r="Q43" s="240">
        <f t="shared" si="24"/>
        <v>0</v>
      </c>
      <c r="R43" s="65"/>
      <c r="S43" s="488"/>
      <c r="T43" s="488"/>
      <c r="U43" s="488"/>
      <c r="V43" s="65"/>
      <c r="W43" s="65"/>
      <c r="X43" s="101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245"/>
    </row>
    <row r="44" spans="1:37" s="2" customFormat="1" ht="15" customHeight="1" x14ac:dyDescent="0.25">
      <c r="A44" s="312" t="str">
        <f>IF(T16&gt;0.01%,(CONCATENATE("LPP ",T16*100,"%")),IF(T15&lt;0.01,"LPP",(CONCATENATE("LPP ","CHF ",T15))))</f>
        <v>LPP</v>
      </c>
      <c r="B44" s="271" t="s">
        <v>136</v>
      </c>
      <c r="C44" s="382">
        <f t="shared" ref="C44:H44" si="31">IF(OR(C$39=0,C$67="oui",DATEDIF($F$7,$A$21,"Y")&lt;18),0,IF($T$16&gt;0.1%,-$T$16*C$39,-$T$15))</f>
        <v>0</v>
      </c>
      <c r="D44" s="382">
        <f t="shared" si="31"/>
        <v>0</v>
      </c>
      <c r="E44" s="382">
        <f t="shared" si="31"/>
        <v>0</v>
      </c>
      <c r="F44" s="382">
        <f t="shared" si="31"/>
        <v>0</v>
      </c>
      <c r="G44" s="382">
        <f t="shared" si="31"/>
        <v>0</v>
      </c>
      <c r="H44" s="383">
        <f t="shared" si="31"/>
        <v>0</v>
      </c>
      <c r="I44" s="327" t="str">
        <f t="shared" si="7"/>
        <v>LPP</v>
      </c>
      <c r="J44" s="271" t="s">
        <v>136</v>
      </c>
      <c r="K44" s="382">
        <f t="shared" ref="K44:P44" si="32">IF(OR(K$39=0,K$67="oui",DATEDIF($F$7,$A$21,"Y")&lt;18),0,IF($T$16&gt;0.1%,-$T$16*K$39,-$T$15))</f>
        <v>0</v>
      </c>
      <c r="L44" s="382">
        <f t="shared" si="32"/>
        <v>0</v>
      </c>
      <c r="M44" s="382">
        <f t="shared" si="32"/>
        <v>0</v>
      </c>
      <c r="N44" s="382">
        <f t="shared" si="32"/>
        <v>0</v>
      </c>
      <c r="O44" s="382">
        <f t="shared" si="32"/>
        <v>0</v>
      </c>
      <c r="P44" s="383">
        <f t="shared" si="32"/>
        <v>0</v>
      </c>
      <c r="Q44" s="240">
        <f t="shared" si="24"/>
        <v>0</v>
      </c>
      <c r="R44" s="65"/>
      <c r="S44" s="65"/>
      <c r="T44" s="65"/>
      <c r="U44" s="65"/>
      <c r="V44" s="65"/>
      <c r="W44" s="101"/>
      <c r="X44" s="59"/>
      <c r="Y44" s="59"/>
      <c r="Z44" s="59"/>
      <c r="AA44" s="59"/>
      <c r="AB44" s="59"/>
      <c r="AC44" s="59"/>
      <c r="AD44" s="59"/>
      <c r="AE44" s="59"/>
    </row>
    <row r="45" spans="1:37" s="2" customFormat="1" ht="15" customHeight="1" x14ac:dyDescent="0.25">
      <c r="A45" s="312" t="str">
        <f>IF(G13="à choisir","",IF(OR(Y9&lt;5%,G13="ordinaire",)," ",(CONCATENATE("Impôt selon LTN ",Y9*100,"%"))))</f>
        <v/>
      </c>
      <c r="B45" s="270" t="str">
        <f>IF(A45="Impôt selon LTN 5%","CHF"," ")</f>
        <v xml:space="preserve"> </v>
      </c>
      <c r="C45" s="382">
        <f t="shared" ref="C45:H45" si="33">IF(C39+C38=0,0,IF(C$67="no",C39*-$Y$9,IF(AND(C38&gt;1),(C39+C38)*-$Y$9,C39*-$Y$9)))</f>
        <v>0</v>
      </c>
      <c r="D45" s="382">
        <f t="shared" si="33"/>
        <v>0</v>
      </c>
      <c r="E45" s="382">
        <f t="shared" si="33"/>
        <v>0</v>
      </c>
      <c r="F45" s="382">
        <f t="shared" si="33"/>
        <v>0</v>
      </c>
      <c r="G45" s="382">
        <f t="shared" si="33"/>
        <v>0</v>
      </c>
      <c r="H45" s="383">
        <f t="shared" si="33"/>
        <v>0</v>
      </c>
      <c r="I45" s="312" t="str">
        <f t="shared" si="7"/>
        <v/>
      </c>
      <c r="J45" s="270" t="str">
        <f>IF(I45="QST gem. BGSA 5%","CHF"," ")</f>
        <v xml:space="preserve"> </v>
      </c>
      <c r="K45" s="382">
        <f t="shared" ref="K45:P45" si="34">IF(K39+K38=0,0,IF(K$67="no",K39*-$Y$9,IF(AND(K38&gt;1),(K39+K38)*-$Y$9,K39*-$Y$9)))</f>
        <v>0</v>
      </c>
      <c r="L45" s="382">
        <f t="shared" si="34"/>
        <v>0</v>
      </c>
      <c r="M45" s="382">
        <f t="shared" si="34"/>
        <v>0</v>
      </c>
      <c r="N45" s="382">
        <f t="shared" si="34"/>
        <v>0</v>
      </c>
      <c r="O45" s="382">
        <f t="shared" si="34"/>
        <v>0</v>
      </c>
      <c r="P45" s="383">
        <f t="shared" si="34"/>
        <v>0</v>
      </c>
      <c r="Q45" s="304">
        <f>ROUND((SUM(C45:H45)+SUM(K45:P45))*20,0)/20</f>
        <v>0</v>
      </c>
      <c r="R45" s="65"/>
      <c r="S45" s="65"/>
      <c r="T45" s="65"/>
      <c r="U45" s="65"/>
      <c r="V45" s="65"/>
      <c r="W45" s="79">
        <f>SUM(W21:W43)</f>
        <v>0</v>
      </c>
      <c r="X45" s="58"/>
      <c r="Y45" s="59"/>
      <c r="Z45" s="59"/>
      <c r="AA45" s="59"/>
      <c r="AB45" s="59"/>
      <c r="AC45" s="59"/>
      <c r="AD45" s="59"/>
      <c r="AE45" s="59"/>
    </row>
    <row r="46" spans="1:37" s="2" customFormat="1" ht="15" customHeight="1" x14ac:dyDescent="0.25">
      <c r="A46" s="312" t="str">
        <f>IF(G13="ordinaire","Impôt à la source","")</f>
        <v/>
      </c>
      <c r="B46" s="270" t="str">
        <f>IF(A46="Impôt à la source","CHF"," ")</f>
        <v xml:space="preserve"> </v>
      </c>
      <c r="C46" s="382"/>
      <c r="D46" s="382"/>
      <c r="E46" s="382"/>
      <c r="F46" s="382"/>
      <c r="G46" s="382"/>
      <c r="H46" s="385"/>
      <c r="I46" s="327" t="str">
        <f t="shared" si="7"/>
        <v/>
      </c>
      <c r="J46" s="270" t="str">
        <f>IF(I46="QST","CHF"," ")</f>
        <v xml:space="preserve"> </v>
      </c>
      <c r="K46" s="384"/>
      <c r="L46" s="384"/>
      <c r="M46" s="384"/>
      <c r="N46" s="386"/>
      <c r="O46" s="384"/>
      <c r="P46" s="385"/>
      <c r="Q46" s="70">
        <f t="shared" si="24"/>
        <v>0</v>
      </c>
      <c r="R46" s="65"/>
      <c r="S46" s="65"/>
      <c r="T46" s="65"/>
      <c r="U46" s="65"/>
      <c r="V46" s="65"/>
      <c r="W46" s="101"/>
      <c r="X46" s="59"/>
      <c r="Y46" s="59"/>
      <c r="Z46" s="59"/>
      <c r="AA46" s="59"/>
      <c r="AB46" s="59"/>
      <c r="AC46" s="59"/>
      <c r="AD46" s="59"/>
      <c r="AE46" s="59"/>
    </row>
    <row r="47" spans="1:37" s="2" customFormat="1" ht="15" customHeight="1" x14ac:dyDescent="0.25">
      <c r="A47" s="312" t="s">
        <v>145</v>
      </c>
      <c r="B47" s="271" t="s">
        <v>136</v>
      </c>
      <c r="C47" s="382"/>
      <c r="D47" s="384"/>
      <c r="E47" s="384"/>
      <c r="F47" s="384"/>
      <c r="G47" s="384"/>
      <c r="H47" s="385"/>
      <c r="I47" s="327" t="str">
        <f t="shared" si="7"/>
        <v>Frais effectifs</v>
      </c>
      <c r="J47" s="271" t="s">
        <v>136</v>
      </c>
      <c r="K47" s="384"/>
      <c r="L47" s="384"/>
      <c r="M47" s="384"/>
      <c r="N47" s="386"/>
      <c r="O47" s="384"/>
      <c r="P47" s="385"/>
      <c r="Q47" s="70">
        <f t="shared" si="24"/>
        <v>0</v>
      </c>
      <c r="R47" s="172"/>
      <c r="S47" s="65"/>
      <c r="T47" s="65"/>
      <c r="U47" s="65"/>
      <c r="V47" s="172"/>
      <c r="W47" s="101"/>
      <c r="X47" s="58"/>
      <c r="Y47" s="59"/>
      <c r="Z47" s="59"/>
      <c r="AA47" s="59"/>
      <c r="AB47" s="59"/>
      <c r="AC47" s="59"/>
      <c r="AD47" s="59"/>
      <c r="AE47" s="59"/>
    </row>
    <row r="48" spans="1:37" s="2" customFormat="1" ht="15" customHeight="1" x14ac:dyDescent="0.25">
      <c r="A48" s="316" t="s">
        <v>135</v>
      </c>
      <c r="B48" s="275" t="s">
        <v>136</v>
      </c>
      <c r="C48" s="382">
        <f>-C31</f>
        <v>0</v>
      </c>
      <c r="D48" s="384">
        <f t="shared" ref="D48:H48" si="35">-D31</f>
        <v>0</v>
      </c>
      <c r="E48" s="384">
        <f t="shared" si="35"/>
        <v>0</v>
      </c>
      <c r="F48" s="384">
        <f t="shared" si="35"/>
        <v>0</v>
      </c>
      <c r="G48" s="384">
        <f t="shared" si="35"/>
        <v>0</v>
      </c>
      <c r="H48" s="385">
        <f t="shared" si="35"/>
        <v>0</v>
      </c>
      <c r="I48" s="328" t="str">
        <f t="shared" si="7"/>
        <v>Repas &amp; logement</v>
      </c>
      <c r="J48" s="275" t="s">
        <v>136</v>
      </c>
      <c r="K48" s="384">
        <f t="shared" ref="K48:P48" si="36">-K31</f>
        <v>0</v>
      </c>
      <c r="L48" s="384">
        <f t="shared" si="36"/>
        <v>0</v>
      </c>
      <c r="M48" s="384">
        <f t="shared" si="36"/>
        <v>0</v>
      </c>
      <c r="N48" s="386">
        <f t="shared" si="36"/>
        <v>0</v>
      </c>
      <c r="O48" s="384">
        <f t="shared" si="36"/>
        <v>0</v>
      </c>
      <c r="P48" s="385">
        <f t="shared" si="36"/>
        <v>0</v>
      </c>
      <c r="Q48" s="241">
        <f t="shared" si="24"/>
        <v>0</v>
      </c>
      <c r="R48" s="57"/>
      <c r="S48" s="172"/>
      <c r="T48" s="172"/>
      <c r="U48" s="172"/>
      <c r="V48" s="57"/>
      <c r="W48" s="101"/>
      <c r="X48" s="58"/>
      <c r="Y48" s="59"/>
      <c r="Z48" s="59"/>
      <c r="AA48" s="59"/>
      <c r="AB48" s="59"/>
      <c r="AC48" s="59"/>
      <c r="AD48" s="59"/>
      <c r="AE48" s="59"/>
    </row>
    <row r="49" spans="1:31" s="2" customFormat="1" ht="15" customHeight="1" x14ac:dyDescent="0.25">
      <c r="A49" s="335" t="s">
        <v>146</v>
      </c>
      <c r="B49" s="336" t="s">
        <v>136</v>
      </c>
      <c r="C49" s="331">
        <f>MROUND(C37+(SUM(C40:C46)+C47+C48),0.05)</f>
        <v>0</v>
      </c>
      <c r="D49" s="331">
        <f t="shared" ref="D49:H49" si="37">MROUND(D37+(SUM(D40:D46)+D47+D48),0.05)</f>
        <v>0</v>
      </c>
      <c r="E49" s="331">
        <f t="shared" si="37"/>
        <v>0</v>
      </c>
      <c r="F49" s="331">
        <f t="shared" si="37"/>
        <v>0</v>
      </c>
      <c r="G49" s="331">
        <f t="shared" si="37"/>
        <v>0</v>
      </c>
      <c r="H49" s="333">
        <f t="shared" si="37"/>
        <v>0</v>
      </c>
      <c r="I49" s="335" t="str">
        <f t="shared" si="7"/>
        <v>Salaire net</v>
      </c>
      <c r="J49" s="336" t="s">
        <v>136</v>
      </c>
      <c r="K49" s="331">
        <f t="shared" ref="K49:P49" si="38">MROUND(K37+(SUM(K40:K46)+K47+K48),0.05)</f>
        <v>0</v>
      </c>
      <c r="L49" s="331">
        <f t="shared" si="38"/>
        <v>0</v>
      </c>
      <c r="M49" s="331">
        <f t="shared" si="38"/>
        <v>0</v>
      </c>
      <c r="N49" s="331">
        <f t="shared" si="38"/>
        <v>0</v>
      </c>
      <c r="O49" s="331">
        <f t="shared" si="38"/>
        <v>0</v>
      </c>
      <c r="P49" s="333">
        <f t="shared" si="38"/>
        <v>0</v>
      </c>
      <c r="Q49" s="242">
        <f>SUM(C49:H49)+SUM(K49:P49)</f>
        <v>0</v>
      </c>
      <c r="R49" s="57"/>
      <c r="S49" s="57"/>
      <c r="T49" s="57"/>
      <c r="U49" s="57"/>
      <c r="V49" s="57"/>
      <c r="W49" s="101"/>
      <c r="X49" s="58"/>
      <c r="Y49" s="59"/>
      <c r="Z49" s="59"/>
      <c r="AA49" s="59"/>
      <c r="AB49" s="59"/>
      <c r="AC49" s="59"/>
      <c r="AD49" s="59"/>
      <c r="AE49" s="59"/>
    </row>
    <row r="50" spans="1:31" s="2" customFormat="1" ht="15" customHeight="1" x14ac:dyDescent="0.25">
      <c r="A50" s="337" t="s">
        <v>147</v>
      </c>
      <c r="B50" s="330" t="s">
        <v>136</v>
      </c>
      <c r="C50" s="382"/>
      <c r="D50" s="382"/>
      <c r="E50" s="382"/>
      <c r="F50" s="382"/>
      <c r="G50" s="382"/>
      <c r="H50" s="383"/>
      <c r="I50" s="337" t="str">
        <f t="shared" si="7"/>
        <v>Salaire net payé</v>
      </c>
      <c r="J50" s="330" t="s">
        <v>136</v>
      </c>
      <c r="K50" s="382"/>
      <c r="L50" s="382"/>
      <c r="M50" s="382"/>
      <c r="N50" s="382"/>
      <c r="O50" s="382"/>
      <c r="P50" s="383"/>
      <c r="Q50" s="309">
        <f>SUM(C50:H50)+SUM(K50:P50)</f>
        <v>0</v>
      </c>
      <c r="R50" s="57"/>
      <c r="S50" s="57"/>
      <c r="T50" s="57"/>
      <c r="U50" s="57"/>
      <c r="V50" s="57"/>
      <c r="W50" s="101"/>
      <c r="X50" s="58"/>
      <c r="Y50" s="59"/>
      <c r="Z50" s="59"/>
      <c r="AA50" s="59"/>
      <c r="AB50" s="59"/>
      <c r="AC50" s="59"/>
      <c r="AD50" s="59"/>
      <c r="AE50" s="59"/>
    </row>
    <row r="51" spans="1:31" s="2" customFormat="1" ht="15" customHeight="1" x14ac:dyDescent="0.25">
      <c r="A51" s="338" t="s">
        <v>148</v>
      </c>
      <c r="B51" s="339" t="s">
        <v>136</v>
      </c>
      <c r="C51" s="332">
        <f>IF(C50=0,0,C50-C49)</f>
        <v>0</v>
      </c>
      <c r="D51" s="332">
        <f t="shared" ref="D51:H51" si="39">IF(D50=0,0,D50-D49)</f>
        <v>0</v>
      </c>
      <c r="E51" s="332">
        <f t="shared" si="39"/>
        <v>0</v>
      </c>
      <c r="F51" s="332">
        <f t="shared" si="39"/>
        <v>0</v>
      </c>
      <c r="G51" s="332">
        <f t="shared" si="39"/>
        <v>0</v>
      </c>
      <c r="H51" s="334">
        <f t="shared" si="39"/>
        <v>0</v>
      </c>
      <c r="I51" s="338" t="str">
        <f t="shared" si="7"/>
        <v>Différence</v>
      </c>
      <c r="J51" s="339" t="s">
        <v>136</v>
      </c>
      <c r="K51" s="332">
        <f t="shared" ref="K51:P51" si="40">IF(K50=0,0,K50-K49)</f>
        <v>0</v>
      </c>
      <c r="L51" s="332">
        <f t="shared" si="40"/>
        <v>0</v>
      </c>
      <c r="M51" s="332">
        <f t="shared" si="40"/>
        <v>0</v>
      </c>
      <c r="N51" s="332">
        <f t="shared" si="40"/>
        <v>0</v>
      </c>
      <c r="O51" s="332">
        <f t="shared" si="40"/>
        <v>0</v>
      </c>
      <c r="P51" s="334">
        <f t="shared" si="40"/>
        <v>0</v>
      </c>
      <c r="Q51" s="309">
        <f>SUM(C51:H51)+SUM(K51:P51)</f>
        <v>0</v>
      </c>
      <c r="R51" s="57"/>
      <c r="S51" s="57"/>
      <c r="T51" s="57"/>
      <c r="U51" s="57"/>
      <c r="V51" s="57"/>
      <c r="W51" s="101"/>
      <c r="X51" s="58"/>
      <c r="Y51" s="59"/>
      <c r="Z51" s="59"/>
      <c r="AA51" s="59"/>
      <c r="AB51" s="59"/>
      <c r="AC51" s="59"/>
      <c r="AD51" s="59"/>
      <c r="AE51" s="59"/>
    </row>
    <row r="52" spans="1:31" s="2" customFormat="1" ht="15" customHeight="1" x14ac:dyDescent="0.25">
      <c r="A52" s="71" t="s">
        <v>149</v>
      </c>
      <c r="B52" s="326"/>
      <c r="C52" s="458"/>
      <c r="D52" s="458"/>
      <c r="E52" s="458"/>
      <c r="F52" s="458"/>
      <c r="G52" s="458"/>
      <c r="H52" s="462"/>
      <c r="I52" s="71" t="str">
        <f t="shared" si="7"/>
        <v>Remarques</v>
      </c>
      <c r="J52" s="326"/>
      <c r="K52" s="458"/>
      <c r="L52" s="458"/>
      <c r="M52" s="458"/>
      <c r="N52" s="458"/>
      <c r="O52" s="464"/>
      <c r="P52" s="462"/>
      <c r="Q52" s="72">
        <f t="shared" ref="Q52" si="41">SUM(C52:H52)+SUM(K52:P52)</f>
        <v>0</v>
      </c>
      <c r="R52" s="65"/>
      <c r="S52" s="57"/>
      <c r="T52" s="57"/>
      <c r="U52" s="57"/>
      <c r="V52" s="65"/>
      <c r="W52" s="101"/>
      <c r="X52" s="59"/>
      <c r="Y52" s="59"/>
      <c r="Z52" s="59"/>
      <c r="AA52" s="59"/>
      <c r="AB52" s="59"/>
      <c r="AC52" s="59"/>
      <c r="AD52" s="59"/>
      <c r="AE52" s="59"/>
    </row>
    <row r="53" spans="1:31" s="6" customFormat="1" ht="15" customHeight="1" thickBot="1" x14ac:dyDescent="0.3">
      <c r="A53" s="317"/>
      <c r="B53" s="277"/>
      <c r="C53" s="459"/>
      <c r="D53" s="459"/>
      <c r="E53" s="459"/>
      <c r="F53" s="459"/>
      <c r="G53" s="459"/>
      <c r="H53" s="463"/>
      <c r="I53" s="317"/>
      <c r="J53" s="277"/>
      <c r="K53" s="459"/>
      <c r="L53" s="459"/>
      <c r="M53" s="459"/>
      <c r="N53" s="459"/>
      <c r="O53" s="465"/>
      <c r="P53" s="463"/>
      <c r="Q53" s="73"/>
      <c r="R53" s="79"/>
      <c r="S53" s="65"/>
      <c r="T53" s="65"/>
      <c r="U53" s="65"/>
      <c r="V53" s="79"/>
      <c r="W53" s="101"/>
      <c r="X53" s="59"/>
      <c r="Y53" s="59"/>
      <c r="Z53" s="59"/>
      <c r="AA53" s="59"/>
      <c r="AB53" s="59"/>
      <c r="AC53" s="59"/>
      <c r="AD53" s="64"/>
      <c r="AE53" s="64"/>
    </row>
    <row r="54" spans="1:31" s="2" customFormat="1" ht="5.15" customHeight="1" thickBot="1" x14ac:dyDescent="0.35">
      <c r="A54" s="53"/>
      <c r="B54" s="53"/>
      <c r="C54" s="74"/>
      <c r="D54" s="54"/>
      <c r="E54" s="55"/>
      <c r="F54" s="54"/>
      <c r="G54" s="54"/>
      <c r="H54" s="56"/>
      <c r="I54" s="53"/>
      <c r="J54" s="53"/>
      <c r="K54" s="56"/>
      <c r="L54" s="56"/>
      <c r="M54" s="56"/>
      <c r="N54" s="74"/>
      <c r="O54" s="54"/>
      <c r="P54" s="54"/>
      <c r="Q54" s="54">
        <f>SUM(C54:H54)+SUM(K54:P54)</f>
        <v>0</v>
      </c>
      <c r="R54" s="57"/>
      <c r="S54" s="79"/>
      <c r="T54" s="79"/>
      <c r="U54" s="79"/>
      <c r="V54" s="57"/>
      <c r="W54" s="102"/>
      <c r="X54" s="63"/>
      <c r="Y54" s="64"/>
      <c r="Z54" s="64"/>
      <c r="AA54" s="64"/>
      <c r="AB54" s="64"/>
      <c r="AC54" s="64"/>
      <c r="AD54" s="59"/>
      <c r="AE54" s="59"/>
    </row>
    <row r="55" spans="1:31" s="2" customFormat="1" ht="15" customHeight="1" x14ac:dyDescent="0.25">
      <c r="A55" s="318" t="s">
        <v>150</v>
      </c>
      <c r="B55" s="278"/>
      <c r="C55" s="85">
        <f t="shared" ref="C55:H55" si="42">C21</f>
        <v>46023</v>
      </c>
      <c r="D55" s="86">
        <f t="shared" si="42"/>
        <v>46054</v>
      </c>
      <c r="E55" s="86">
        <f t="shared" si="42"/>
        <v>46082</v>
      </c>
      <c r="F55" s="86">
        <f t="shared" si="42"/>
        <v>46113</v>
      </c>
      <c r="G55" s="86">
        <f t="shared" si="42"/>
        <v>46143</v>
      </c>
      <c r="H55" s="87">
        <f t="shared" si="42"/>
        <v>46174</v>
      </c>
      <c r="I55" s="318" t="str">
        <f>A55</f>
        <v>Données pour AssistMe:</v>
      </c>
      <c r="J55" s="278"/>
      <c r="K55" s="86">
        <f t="shared" ref="K55:P55" si="43">K21</f>
        <v>46204</v>
      </c>
      <c r="L55" s="86">
        <f t="shared" si="43"/>
        <v>46235</v>
      </c>
      <c r="M55" s="86">
        <f t="shared" si="43"/>
        <v>46266</v>
      </c>
      <c r="N55" s="88">
        <f t="shared" si="43"/>
        <v>46296</v>
      </c>
      <c r="O55" s="86">
        <f t="shared" si="43"/>
        <v>46327</v>
      </c>
      <c r="P55" s="87">
        <f t="shared" si="43"/>
        <v>46357</v>
      </c>
      <c r="Q55" s="229" t="s">
        <v>134</v>
      </c>
      <c r="R55" s="57"/>
      <c r="S55" s="57"/>
      <c r="T55" s="57"/>
      <c r="U55" s="57"/>
      <c r="V55" s="57"/>
      <c r="W55" s="101"/>
      <c r="X55" s="59"/>
      <c r="Y55" s="59"/>
      <c r="Z55" s="59"/>
      <c r="AA55" s="59"/>
      <c r="AB55" s="59"/>
      <c r="AC55" s="59"/>
      <c r="AD55" s="59"/>
      <c r="AE55" s="59"/>
    </row>
    <row r="56" spans="1:31" s="2" customFormat="1" ht="15" customHeight="1" x14ac:dyDescent="0.25">
      <c r="A56" s="319" t="s">
        <v>151</v>
      </c>
      <c r="B56" s="279" t="s">
        <v>152</v>
      </c>
      <c r="C56" s="292" t="str">
        <f t="shared" ref="C56:H56" si="44">IF($C$16="Salaire horaire",IF($M$8="","",(C25*$P$10)+(C24*$P$7)+C26+C28+(C32+C33)/(IF($M$13&gt;1,((($M$8+$M$13)/2)),$M$8))),"Salaire mensuel")</f>
        <v>Salaire mensuel</v>
      </c>
      <c r="D56" s="292" t="str">
        <f t="shared" si="44"/>
        <v>Salaire mensuel</v>
      </c>
      <c r="E56" s="292" t="str">
        <f t="shared" si="44"/>
        <v>Salaire mensuel</v>
      </c>
      <c r="F56" s="292" t="str">
        <f t="shared" si="44"/>
        <v>Salaire mensuel</v>
      </c>
      <c r="G56" s="292" t="str">
        <f t="shared" si="44"/>
        <v>Salaire mensuel</v>
      </c>
      <c r="H56" s="293" t="str">
        <f t="shared" si="44"/>
        <v>Salaire mensuel</v>
      </c>
      <c r="I56" s="320" t="str">
        <f>A56</f>
        <v>Nombre d'heures</v>
      </c>
      <c r="J56" s="279" t="s">
        <v>153</v>
      </c>
      <c r="K56" s="292" t="str">
        <f t="shared" ref="K56:P56" si="45">IF($C$16="Salaire horaire",IF($M$8="","",(K25*$P$10)+(K24*$P$7)+K26+K28+(K32+K33)/(IF($M$13&gt;1,((($M$8+$M$13)/2)),$M$8))),"Salaire mensuel")</f>
        <v>Salaire mensuel</v>
      </c>
      <c r="L56" s="292" t="str">
        <f t="shared" si="45"/>
        <v>Salaire mensuel</v>
      </c>
      <c r="M56" s="292" t="str">
        <f t="shared" si="45"/>
        <v>Salaire mensuel</v>
      </c>
      <c r="N56" s="292" t="str">
        <f t="shared" si="45"/>
        <v>Salaire mensuel</v>
      </c>
      <c r="O56" s="292" t="str">
        <f t="shared" si="45"/>
        <v>Salaire mensuel</v>
      </c>
      <c r="P56" s="293" t="str">
        <f t="shared" si="45"/>
        <v>Salaire mensuel</v>
      </c>
      <c r="Q56" s="233">
        <f>SUM(C56:H56)+SUM(K56:P56)</f>
        <v>0</v>
      </c>
      <c r="R56" s="57"/>
      <c r="S56" s="57"/>
      <c r="T56" s="57"/>
      <c r="U56" s="57"/>
      <c r="V56" s="57"/>
      <c r="W56" s="101"/>
      <c r="X56" s="59"/>
      <c r="Y56" s="59"/>
      <c r="Z56" s="59"/>
      <c r="AA56" s="59"/>
      <c r="AB56" s="59"/>
      <c r="AC56" s="59"/>
      <c r="AD56" s="59"/>
      <c r="AE56" s="59"/>
    </row>
    <row r="57" spans="1:31" s="2" customFormat="1" ht="15" customHeight="1" x14ac:dyDescent="0.25">
      <c r="A57" s="320" t="s">
        <v>146</v>
      </c>
      <c r="B57" s="280" t="s">
        <v>136</v>
      </c>
      <c r="C57" s="294">
        <f>C49-C48-C47-C46-C36-C35-C34-C31</f>
        <v>0</v>
      </c>
      <c r="D57" s="294">
        <f t="shared" ref="D57:H57" si="46">D49-D48-D47-D46-D36-D35-D34-D31</f>
        <v>0</v>
      </c>
      <c r="E57" s="294">
        <f t="shared" si="46"/>
        <v>0</v>
      </c>
      <c r="F57" s="294">
        <f t="shared" si="46"/>
        <v>0</v>
      </c>
      <c r="G57" s="294">
        <f t="shared" si="46"/>
        <v>0</v>
      </c>
      <c r="H57" s="293">
        <f t="shared" si="46"/>
        <v>0</v>
      </c>
      <c r="I57" s="320" t="str">
        <f>A57</f>
        <v>Salaire net</v>
      </c>
      <c r="J57" s="280" t="s">
        <v>136</v>
      </c>
      <c r="K57" s="60">
        <f t="shared" ref="K57:P57" si="47">K49-K48-K47-K46-K36-K35-K34-K31</f>
        <v>0</v>
      </c>
      <c r="L57" s="60">
        <f t="shared" si="47"/>
        <v>0</v>
      </c>
      <c r="M57" s="60">
        <f t="shared" si="47"/>
        <v>0</v>
      </c>
      <c r="N57" s="301">
        <f t="shared" si="47"/>
        <v>0</v>
      </c>
      <c r="O57" s="60">
        <f t="shared" si="47"/>
        <v>0</v>
      </c>
      <c r="P57" s="61">
        <f t="shared" si="47"/>
        <v>0</v>
      </c>
      <c r="Q57" s="61">
        <f>SUM(C57:H57)+SUM(K57:P57)</f>
        <v>0</v>
      </c>
      <c r="R57" s="57"/>
      <c r="S57" s="57"/>
      <c r="T57" s="57"/>
      <c r="U57" s="57"/>
      <c r="V57" s="57"/>
      <c r="W57" s="101"/>
      <c r="X57" s="58"/>
      <c r="Y57" s="59"/>
      <c r="Z57" s="59"/>
      <c r="AA57" s="59"/>
      <c r="AB57" s="59"/>
      <c r="AC57" s="59"/>
      <c r="AD57" s="59"/>
      <c r="AE57" s="59"/>
    </row>
    <row r="58" spans="1:31" s="2" customFormat="1" ht="15" customHeight="1" thickBot="1" x14ac:dyDescent="0.3">
      <c r="A58" s="321" t="s">
        <v>154</v>
      </c>
      <c r="B58" s="281" t="s">
        <v>136</v>
      </c>
      <c r="C58" s="295">
        <f>IF(C32&gt;0.1,C32-(C32*(SUM($T$8:$T$14)+$Y$9+$T$16))-(C32/IF(C39=0,1,C39)*-C44),IF(C32&lt;-0.1,C32-(C32*(SUM($T$8:$T$14)+$Y$9+$T$16))-(C32/IF(C39=0,1,C39)*-C44),0))</f>
        <v>0</v>
      </c>
      <c r="D58" s="295">
        <f t="shared" ref="D58:H58" si="48">IF(D32&gt;0.1,D32-(D32*(SUM($T$8:$T$14)+$Y$9+$T$16))-(D32/IF(D39=0,1,D39)*-D44),IF(D32&lt;-0.1,D32-(D32*(SUM($T$8:$T$14)+$Y$9+$T$16))-(D32/IF(D39=0,1,D39)*-D44),0))</f>
        <v>0</v>
      </c>
      <c r="E58" s="295">
        <f t="shared" si="48"/>
        <v>0</v>
      </c>
      <c r="F58" s="295">
        <f t="shared" si="48"/>
        <v>0</v>
      </c>
      <c r="G58" s="295">
        <f t="shared" si="48"/>
        <v>0</v>
      </c>
      <c r="H58" s="296">
        <f t="shared" si="48"/>
        <v>0</v>
      </c>
      <c r="I58" s="321" t="str">
        <f>A58</f>
        <v>Dont oblig. de verser le salaire (art. 324a CO)</v>
      </c>
      <c r="J58" s="281" t="s">
        <v>136</v>
      </c>
      <c r="K58" s="295">
        <f t="shared" ref="K58:P58" si="49">IF(K32&gt;0.1,K32-(K32*(SUM($T$8:$T$14)+$Y$9+$T$16))-(K32/IF(K39=0,1,K39)*-K44),IF(K32&lt;-0.1,K32-(K32*(SUM($T$8:$T$14)+$Y$9+$T$16))-(K32/IF(K39=0,1,K39)*-K44),0))</f>
        <v>0</v>
      </c>
      <c r="L58" s="295">
        <f t="shared" si="49"/>
        <v>0</v>
      </c>
      <c r="M58" s="295">
        <f t="shared" si="49"/>
        <v>0</v>
      </c>
      <c r="N58" s="295">
        <f t="shared" si="49"/>
        <v>0</v>
      </c>
      <c r="O58" s="295">
        <f t="shared" si="49"/>
        <v>0</v>
      </c>
      <c r="P58" s="296">
        <f t="shared" si="49"/>
        <v>0</v>
      </c>
      <c r="Q58" s="84">
        <f>SUM(C58:H58)+SUM(K58:P58)</f>
        <v>0</v>
      </c>
      <c r="R58" s="57"/>
      <c r="S58" s="57"/>
      <c r="T58" s="57"/>
      <c r="U58" s="57"/>
      <c r="V58" s="57"/>
      <c r="W58" s="101"/>
      <c r="X58" s="58"/>
      <c r="Y58" s="59"/>
      <c r="Z58" s="59"/>
      <c r="AA58" s="59"/>
      <c r="AB58" s="59"/>
      <c r="AC58" s="59"/>
      <c r="AD58" s="59"/>
      <c r="AE58" s="59"/>
    </row>
    <row r="59" spans="1:31" s="6" customFormat="1" ht="5.15" customHeight="1" thickBot="1" x14ac:dyDescent="0.3">
      <c r="A59" s="2"/>
      <c r="B59" s="2"/>
      <c r="C59" s="65"/>
      <c r="D59" s="57"/>
      <c r="E59" s="66"/>
      <c r="F59" s="57"/>
      <c r="G59" s="57"/>
      <c r="H59" s="67"/>
      <c r="I59" s="2"/>
      <c r="J59" s="2"/>
      <c r="K59" s="67"/>
      <c r="L59" s="67"/>
      <c r="M59" s="67"/>
      <c r="N59" s="65"/>
      <c r="O59" s="57"/>
      <c r="P59" s="57"/>
      <c r="Q59" s="57"/>
      <c r="R59" s="62"/>
      <c r="S59" s="57"/>
      <c r="T59" s="57"/>
      <c r="U59" s="57"/>
      <c r="V59" s="62"/>
      <c r="W59" s="101"/>
      <c r="X59" s="58"/>
      <c r="Y59" s="59"/>
      <c r="Z59" s="59"/>
      <c r="AA59" s="59"/>
      <c r="AB59" s="59"/>
      <c r="AC59" s="59"/>
      <c r="AD59" s="64"/>
      <c r="AE59" s="64"/>
    </row>
    <row r="60" spans="1:31" s="6" customFormat="1" ht="15" customHeight="1" x14ac:dyDescent="0.3">
      <c r="A60" s="322" t="str">
        <f>IF(G12="oui","Contribution d'assistance de l'AI","")</f>
        <v/>
      </c>
      <c r="B60" s="282"/>
      <c r="C60" s="226" t="str">
        <f>IF($G$12="oui",C21,"")</f>
        <v/>
      </c>
      <c r="D60" s="226" t="str">
        <f t="shared" ref="D60:H60" si="50">IF($G$12="oui",D21,"")</f>
        <v/>
      </c>
      <c r="E60" s="226" t="str">
        <f t="shared" si="50"/>
        <v/>
      </c>
      <c r="F60" s="226" t="str">
        <f t="shared" si="50"/>
        <v/>
      </c>
      <c r="G60" s="226" t="str">
        <f t="shared" si="50"/>
        <v/>
      </c>
      <c r="H60" s="227" t="str">
        <f t="shared" si="50"/>
        <v/>
      </c>
      <c r="I60" s="322" t="str">
        <f t="shared" ref="I60:I64" si="51">A60</f>
        <v/>
      </c>
      <c r="J60" s="282"/>
      <c r="K60" s="226" t="str">
        <f>IF($G$12="oui",K21,"")</f>
        <v/>
      </c>
      <c r="L60" s="226" t="str">
        <f t="shared" ref="L60:P60" si="52">IF($G$12="oui",L21,"")</f>
        <v/>
      </c>
      <c r="M60" s="226" t="str">
        <f t="shared" si="52"/>
        <v/>
      </c>
      <c r="N60" s="226" t="str">
        <f t="shared" si="52"/>
        <v/>
      </c>
      <c r="O60" s="226" t="str">
        <f t="shared" si="52"/>
        <v/>
      </c>
      <c r="P60" s="227" t="str">
        <f t="shared" si="52"/>
        <v/>
      </c>
      <c r="Q60" s="230" t="str">
        <f>IF($G$12="Oui","Total","")</f>
        <v/>
      </c>
      <c r="R60" s="62"/>
      <c r="S60" s="62"/>
      <c r="T60" s="62"/>
      <c r="U60" s="62"/>
      <c r="V60" s="62"/>
      <c r="W60" s="102"/>
      <c r="X60" s="63"/>
      <c r="Y60" s="64"/>
      <c r="Z60" s="64"/>
      <c r="AA60" s="64"/>
      <c r="AB60" s="64"/>
      <c r="AC60" s="64"/>
      <c r="AD60" s="64"/>
      <c r="AE60" s="64"/>
    </row>
    <row r="61" spans="1:31" s="2" customFormat="1" ht="15" customHeight="1" x14ac:dyDescent="0.3">
      <c r="A61" s="323" t="str">
        <f>IF(G12="oui","A) Nb. d'heures standard","")</f>
        <v/>
      </c>
      <c r="B61" s="283" t="str">
        <f>IF(G12="oui","h"," ")</f>
        <v xml:space="preserve"> </v>
      </c>
      <c r="C61" s="297" t="str">
        <f>IF($G$12="oui",(IF(DATEDIF($F$7,C$21,"Y")&lt;18,0,C26+C28)),"")</f>
        <v/>
      </c>
      <c r="D61" s="297" t="str">
        <f t="shared" ref="D61:H61" si="53">IF($G$12="oui",(IF(DATEDIF($F$7,D$21,"Y")&lt;18,0,D26+D28)),"")</f>
        <v/>
      </c>
      <c r="E61" s="297" t="str">
        <f t="shared" si="53"/>
        <v/>
      </c>
      <c r="F61" s="297" t="str">
        <f t="shared" si="53"/>
        <v/>
      </c>
      <c r="G61" s="297" t="str">
        <f t="shared" si="53"/>
        <v/>
      </c>
      <c r="H61" s="298" t="str">
        <f t="shared" si="53"/>
        <v/>
      </c>
      <c r="I61" s="324" t="str">
        <f t="shared" si="51"/>
        <v/>
      </c>
      <c r="J61" s="283" t="str">
        <f>B61</f>
        <v xml:space="preserve"> </v>
      </c>
      <c r="K61" s="297" t="str">
        <f>IF($G$12="oui",(IF(DATEDIF($F$7,K$21,"Y")&lt;18,0,K26+K28)),"")</f>
        <v/>
      </c>
      <c r="L61" s="297" t="str">
        <f t="shared" ref="L61:P61" si="54">IF($G$12="oui",(IF(DATEDIF($F$7,L$21,"Y")&lt;18,0,L26+L28)),"")</f>
        <v/>
      </c>
      <c r="M61" s="297" t="str">
        <f t="shared" si="54"/>
        <v/>
      </c>
      <c r="N61" s="297" t="str">
        <f t="shared" si="54"/>
        <v/>
      </c>
      <c r="O61" s="297" t="str">
        <f t="shared" si="54"/>
        <v/>
      </c>
      <c r="P61" s="298" t="str">
        <f t="shared" si="54"/>
        <v/>
      </c>
      <c r="Q61" s="402" t="str">
        <f>IF($G$12="Oui",SUM(C61:H61)+SUM(K61:P61),"")</f>
        <v/>
      </c>
      <c r="R61" s="57"/>
      <c r="S61" s="62"/>
      <c r="T61" s="62"/>
      <c r="U61" s="62"/>
      <c r="V61" s="57"/>
      <c r="W61" s="102"/>
      <c r="X61" s="63"/>
      <c r="Y61" s="64"/>
      <c r="Z61" s="64"/>
      <c r="AA61" s="64"/>
      <c r="AB61" s="64"/>
      <c r="AC61" s="64"/>
      <c r="AD61" s="59"/>
      <c r="AE61" s="59"/>
    </row>
    <row r="62" spans="1:31" s="2" customFormat="1" ht="15" customHeight="1" x14ac:dyDescent="0.25">
      <c r="A62" s="324" t="str">
        <f>IF(G12="oui","B) Nb. d'heures quali B","")</f>
        <v/>
      </c>
      <c r="B62" s="284" t="str">
        <f>IF(G12="oui","h"," ")</f>
        <v xml:space="preserve"> </v>
      </c>
      <c r="C62" s="297"/>
      <c r="D62" s="297"/>
      <c r="E62" s="297"/>
      <c r="F62" s="297"/>
      <c r="G62" s="297"/>
      <c r="H62" s="298"/>
      <c r="I62" s="324" t="str">
        <f t="shared" si="51"/>
        <v/>
      </c>
      <c r="J62" s="284" t="str">
        <f>B62</f>
        <v xml:space="preserve"> </v>
      </c>
      <c r="K62" s="297"/>
      <c r="L62" s="297"/>
      <c r="M62" s="297"/>
      <c r="N62" s="297"/>
      <c r="O62" s="297"/>
      <c r="P62" s="298"/>
      <c r="Q62" s="228" t="str">
        <f>IF($G$12="Oui",SUM(C62:H62)+SUM(K62:P62),"")</f>
        <v/>
      </c>
      <c r="R62" s="57"/>
      <c r="S62" s="57"/>
      <c r="T62" s="57"/>
      <c r="U62" s="57"/>
      <c r="V62" s="57"/>
      <c r="W62" s="101"/>
      <c r="X62" s="58"/>
      <c r="Y62" s="58"/>
      <c r="Z62" s="58"/>
      <c r="AA62" s="58"/>
      <c r="AB62" s="58"/>
      <c r="AC62" s="58"/>
      <c r="AD62" s="58"/>
      <c r="AE62" s="58"/>
    </row>
    <row r="63" spans="1:31" s="2" customFormat="1" ht="15" customHeight="1" x14ac:dyDescent="0.25">
      <c r="A63" s="445" t="str">
        <f>IF($G$12="oui","C) Nb. d'engagements 
de nuit","")</f>
        <v/>
      </c>
      <c r="B63" s="448" t="str">
        <f>IF(G12="oui","Nb."," ")</f>
        <v xml:space="preserve"> </v>
      </c>
      <c r="C63" s="376" t="str">
        <f>IF($G$12="Oui",(IF(DATEDIF($F$7,C$21,"Y")&lt;18,0,C25)),"")</f>
        <v/>
      </c>
      <c r="D63" s="376" t="str">
        <f t="shared" ref="D63:H63" si="55">IF($G$12="Oui",(IF(DATEDIF($F$7,D$21,"Y")&lt;18,0,D25)),"")</f>
        <v/>
      </c>
      <c r="E63" s="376" t="str">
        <f t="shared" si="55"/>
        <v/>
      </c>
      <c r="F63" s="376" t="str">
        <f t="shared" si="55"/>
        <v/>
      </c>
      <c r="G63" s="376" t="str">
        <f t="shared" si="55"/>
        <v/>
      </c>
      <c r="H63" s="377" t="str">
        <f t="shared" si="55"/>
        <v/>
      </c>
      <c r="I63" s="324" t="str">
        <f t="shared" si="51"/>
        <v/>
      </c>
      <c r="J63" s="284" t="str">
        <f>B63</f>
        <v xml:space="preserve"> </v>
      </c>
      <c r="K63" s="376" t="str">
        <f>IF($G$12="Oui",(IF(DATEDIF($F$7,K$21,"Y")&lt;18,0,K25)),"")</f>
        <v/>
      </c>
      <c r="L63" s="376" t="str">
        <f t="shared" ref="L63:P63" si="56">IF($G$12="Oui",(IF(DATEDIF($F$7,L$21,"Y")&lt;18,0,L25)),"")</f>
        <v/>
      </c>
      <c r="M63" s="376" t="str">
        <f t="shared" si="56"/>
        <v/>
      </c>
      <c r="N63" s="376" t="str">
        <f t="shared" si="56"/>
        <v/>
      </c>
      <c r="O63" s="376" t="str">
        <f t="shared" si="56"/>
        <v/>
      </c>
      <c r="P63" s="377" t="str">
        <f t="shared" si="56"/>
        <v/>
      </c>
      <c r="Q63" s="228" t="str">
        <f>IF($G$12="Oui",SUM(C63:H63)+SUM(K63:P63),"")</f>
        <v/>
      </c>
      <c r="R63" s="57"/>
      <c r="S63" s="57"/>
      <c r="T63" s="57"/>
      <c r="U63" s="57"/>
      <c r="V63" s="57"/>
      <c r="W63" s="101"/>
      <c r="X63" s="58"/>
      <c r="Y63" s="58"/>
      <c r="Z63" s="58"/>
      <c r="AA63" s="58"/>
      <c r="AB63" s="58"/>
      <c r="AC63" s="58"/>
      <c r="AD63" s="58"/>
      <c r="AE63" s="58"/>
    </row>
    <row r="64" spans="1:31" s="2" customFormat="1" ht="15" customHeight="1" thickBot="1" x14ac:dyDescent="0.3">
      <c r="A64" s="446" t="str">
        <f>IF(G12="oui","Oblig. de verser le salaire","")</f>
        <v/>
      </c>
      <c r="B64" s="449"/>
      <c r="C64" s="299" t="str">
        <f>IF($G$12="Oui",(IF(DATEDIF($F$7,C$21,"Y")&lt;18,0,(IF(OR(C32&gt;0.1,C33&gt;0.1),"décompter","")))),"")</f>
        <v/>
      </c>
      <c r="D64" s="299" t="str">
        <f t="shared" ref="D64:H64" si="57">IF($G$12="Oui",(IF(DATEDIF($F$7,D$21,"Y")&lt;18,0,(IF(OR(D32&gt;0.1,D33&gt;0.1),"décompter","")))),"")</f>
        <v/>
      </c>
      <c r="E64" s="299" t="str">
        <f t="shared" si="57"/>
        <v/>
      </c>
      <c r="F64" s="299" t="str">
        <f t="shared" si="57"/>
        <v/>
      </c>
      <c r="G64" s="299" t="str">
        <f t="shared" si="57"/>
        <v/>
      </c>
      <c r="H64" s="300" t="str">
        <f t="shared" si="57"/>
        <v/>
      </c>
      <c r="I64" s="325" t="str">
        <f t="shared" si="51"/>
        <v/>
      </c>
      <c r="J64" s="285">
        <f>B64</f>
        <v>0</v>
      </c>
      <c r="K64" s="299" t="str">
        <f>IF($G$12="Oui",(IF(DATEDIF($F$7,K$21,"Y")&lt;18,0,(IF(OR(K32&gt;0.1,K33&gt;0.1),"décompter","")))),"")</f>
        <v/>
      </c>
      <c r="L64" s="299" t="str">
        <f t="shared" ref="L64:P64" si="58">IF($G$12="Oui",(IF(DATEDIF($F$7,L$21,"Y")&lt;18,0,(IF(OR(L32&gt;0.1,L33&gt;0.1),"décompter","")))),"")</f>
        <v/>
      </c>
      <c r="M64" s="299" t="str">
        <f t="shared" si="58"/>
        <v/>
      </c>
      <c r="N64" s="299" t="str">
        <f t="shared" si="58"/>
        <v/>
      </c>
      <c r="O64" s="299" t="str">
        <f t="shared" si="58"/>
        <v/>
      </c>
      <c r="P64" s="300" t="str">
        <f t="shared" si="58"/>
        <v/>
      </c>
      <c r="Q64" s="231" t="str">
        <f>IF($G$12="oui",SUM(C64:H64)+SUM(K64:P64),"")</f>
        <v/>
      </c>
      <c r="R64" s="57"/>
      <c r="S64" s="57"/>
      <c r="T64" s="57"/>
      <c r="U64" s="57"/>
      <c r="V64" s="57"/>
      <c r="W64" s="101"/>
      <c r="X64" s="58"/>
      <c r="Y64" s="58"/>
      <c r="Z64" s="58"/>
      <c r="AA64" s="58"/>
      <c r="AB64" s="58"/>
      <c r="AC64" s="58"/>
      <c r="AD64" s="58"/>
      <c r="AE64" s="58"/>
    </row>
    <row r="65" spans="1:31" s="6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2"/>
      <c r="K65" s="1"/>
      <c r="L65" s="1"/>
      <c r="M65" s="1"/>
      <c r="N65" s="1"/>
      <c r="O65" s="1"/>
      <c r="P65" s="1"/>
      <c r="Q65" s="1"/>
      <c r="R65" s="62"/>
      <c r="S65" s="1"/>
      <c r="T65" s="1"/>
      <c r="U65" s="1"/>
      <c r="V65" s="62"/>
      <c r="W65" s="101"/>
      <c r="X65" s="58"/>
      <c r="Y65" s="58"/>
      <c r="Z65" s="58"/>
      <c r="AA65" s="58"/>
      <c r="AB65" s="58"/>
      <c r="AC65" s="58"/>
      <c r="AD65" s="63"/>
      <c r="AE65" s="63"/>
    </row>
    <row r="66" spans="1:31" s="415" customFormat="1" ht="15" customHeight="1" x14ac:dyDescent="0.25">
      <c r="A66" s="1"/>
      <c r="B66" s="1"/>
      <c r="C66" s="412"/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12"/>
      <c r="Q66" s="412"/>
      <c r="R66" s="413"/>
      <c r="S66" s="412"/>
      <c r="T66" s="412"/>
      <c r="U66" s="412"/>
      <c r="V66" s="413"/>
      <c r="W66" s="429"/>
      <c r="X66" s="414"/>
      <c r="Y66" s="414"/>
      <c r="Z66" s="414"/>
      <c r="AA66" s="414"/>
      <c r="AB66" s="414"/>
      <c r="AC66" s="414"/>
      <c r="AD66" s="414"/>
      <c r="AE66" s="414"/>
    </row>
    <row r="67" spans="1:31" s="412" customFormat="1" ht="15" hidden="1" customHeight="1" x14ac:dyDescent="0.2">
      <c r="A67" s="412" t="s">
        <v>155</v>
      </c>
      <c r="C67" s="424" t="str">
        <f>IF(AND($C$14&lt;=EOMONTH(C$21,0),OR($C$15&gt;=C$21,$C$15=""),$F$17&lt;=C$21),"oui","no")</f>
        <v>no</v>
      </c>
      <c r="D67" s="424" t="str">
        <f t="shared" ref="D67:H67" si="59">IF(AND($C$14&lt;=EOMONTH(D$21,0),OR($C$15&gt;=D$21,$C$15=""),$F$17&lt;=D$21),"oui","no")</f>
        <v>no</v>
      </c>
      <c r="E67" s="424" t="str">
        <f t="shared" si="59"/>
        <v>no</v>
      </c>
      <c r="F67" s="424" t="str">
        <f t="shared" si="59"/>
        <v>no</v>
      </c>
      <c r="G67" s="424" t="str">
        <f t="shared" si="59"/>
        <v>no</v>
      </c>
      <c r="H67" s="424" t="str">
        <f t="shared" si="59"/>
        <v>no</v>
      </c>
      <c r="I67" s="424"/>
      <c r="J67" s="424"/>
      <c r="K67" s="424" t="str">
        <f>IF(AND($C$14&lt;=EOMONTH(K$21,0),OR($C$15&gt;=K$21,$C$15=""),$F$17&lt;=K$21),"oui","no")</f>
        <v>no</v>
      </c>
      <c r="L67" s="424" t="str">
        <f t="shared" ref="L67:P67" si="60">IF(AND($C$14&lt;=EOMONTH(L$21,0),OR($C$15&gt;=L$21,$C$15=""),$F$17&lt;=L$21),"oui","no")</f>
        <v>no</v>
      </c>
      <c r="M67" s="424" t="str">
        <f t="shared" si="60"/>
        <v>no</v>
      </c>
      <c r="N67" s="424" t="str">
        <f t="shared" si="60"/>
        <v>no</v>
      </c>
      <c r="O67" s="424" t="str">
        <f t="shared" si="60"/>
        <v>no</v>
      </c>
      <c r="P67" s="424" t="str">
        <f t="shared" si="60"/>
        <v>no</v>
      </c>
      <c r="X67" s="416"/>
      <c r="Y67" s="416"/>
      <c r="Z67" s="416"/>
      <c r="AA67" s="416"/>
      <c r="AB67" s="416"/>
      <c r="AC67" s="416"/>
      <c r="AD67" s="416"/>
      <c r="AE67" s="416"/>
    </row>
    <row r="68" spans="1:31" s="412" customFormat="1" ht="10" hidden="1" x14ac:dyDescent="0.2">
      <c r="X68" s="416"/>
      <c r="Y68" s="416"/>
      <c r="Z68" s="416"/>
      <c r="AA68" s="416"/>
      <c r="AB68" s="416"/>
      <c r="AC68" s="416"/>
      <c r="AD68" s="416"/>
      <c r="AE68" s="416"/>
    </row>
    <row r="69" spans="1:31" s="412" customFormat="1" ht="10.5" hidden="1" x14ac:dyDescent="0.25">
      <c r="A69" s="417"/>
      <c r="C69" s="418">
        <f>C$21</f>
        <v>46023</v>
      </c>
      <c r="D69" s="418">
        <f t="shared" ref="D69:H69" si="61">D$21</f>
        <v>46054</v>
      </c>
      <c r="E69" s="418">
        <f t="shared" si="61"/>
        <v>46082</v>
      </c>
      <c r="F69" s="418">
        <f t="shared" si="61"/>
        <v>46113</v>
      </c>
      <c r="G69" s="418">
        <f t="shared" si="61"/>
        <v>46143</v>
      </c>
      <c r="H69" s="418">
        <f t="shared" si="61"/>
        <v>46174</v>
      </c>
      <c r="K69" s="418">
        <f>K$21</f>
        <v>46204</v>
      </c>
      <c r="L69" s="418">
        <f t="shared" ref="L69:P69" si="62">L$21</f>
        <v>46235</v>
      </c>
      <c r="M69" s="418">
        <f t="shared" si="62"/>
        <v>46266</v>
      </c>
      <c r="N69" s="418">
        <f t="shared" si="62"/>
        <v>46296</v>
      </c>
      <c r="O69" s="418">
        <f t="shared" si="62"/>
        <v>46327</v>
      </c>
      <c r="P69" s="418">
        <f t="shared" si="62"/>
        <v>46357</v>
      </c>
      <c r="X69" s="416"/>
      <c r="Y69" s="416"/>
      <c r="Z69" s="416"/>
      <c r="AA69" s="416"/>
      <c r="AB69" s="416"/>
      <c r="AC69" s="416"/>
      <c r="AD69" s="416"/>
      <c r="AE69" s="416"/>
    </row>
    <row r="70" spans="1:31" s="412" customFormat="1" ht="10.5" hidden="1" x14ac:dyDescent="0.25">
      <c r="A70" s="419" t="s">
        <v>156</v>
      </c>
      <c r="C70" s="419">
        <f t="shared" ref="C70:H70" si="63">IF($C$16="Salaire horaire",SUM(C$27,C$29,C$30,C$31,C$32,C$33,C$34),SUM(C$22,C$23,C$30,C$31,C$32,C$33,C$34))</f>
        <v>0</v>
      </c>
      <c r="D70" s="419">
        <f t="shared" si="63"/>
        <v>0</v>
      </c>
      <c r="E70" s="419">
        <f t="shared" si="63"/>
        <v>0</v>
      </c>
      <c r="F70" s="419">
        <f t="shared" si="63"/>
        <v>0</v>
      </c>
      <c r="G70" s="419">
        <f t="shared" si="63"/>
        <v>0</v>
      </c>
      <c r="H70" s="419">
        <f t="shared" si="63"/>
        <v>0</v>
      </c>
      <c r="K70" s="419">
        <f t="shared" ref="K70:P70" si="64">IF($C$16="Salaire horaire",SUM(K$27,K$29,K$30,K$31,K$32,K$33,K$34),SUM(K$22,K$23,K$30,K$31,K$32,K$33,K$34))</f>
        <v>0</v>
      </c>
      <c r="L70" s="419">
        <f t="shared" si="64"/>
        <v>0</v>
      </c>
      <c r="M70" s="419">
        <f t="shared" si="64"/>
        <v>0</v>
      </c>
      <c r="N70" s="419">
        <f t="shared" si="64"/>
        <v>0</v>
      </c>
      <c r="O70" s="419">
        <f t="shared" si="64"/>
        <v>0</v>
      </c>
      <c r="P70" s="419">
        <f t="shared" si="64"/>
        <v>0</v>
      </c>
      <c r="X70" s="416"/>
      <c r="Y70" s="416"/>
      <c r="Z70" s="416"/>
      <c r="AA70" s="416"/>
      <c r="AB70" s="416"/>
      <c r="AC70" s="416"/>
      <c r="AD70" s="416"/>
      <c r="AE70" s="416"/>
    </row>
    <row r="71" spans="1:31" s="412" customFormat="1" ht="10.5" hidden="1" x14ac:dyDescent="0.25">
      <c r="A71" s="419" t="s">
        <v>157</v>
      </c>
      <c r="C71" s="419">
        <f>IF(C$73=0,0,C$70)</f>
        <v>0</v>
      </c>
      <c r="D71" s="419">
        <f>IF(D$73=0,0,D$70+C$71)</f>
        <v>0</v>
      </c>
      <c r="E71" s="419">
        <f t="shared" ref="E71:G71" si="65">IF(E$73=0,0,E$70+D$71)</f>
        <v>0</v>
      </c>
      <c r="F71" s="419">
        <f t="shared" si="65"/>
        <v>0</v>
      </c>
      <c r="G71" s="419">
        <f t="shared" si="65"/>
        <v>0</v>
      </c>
      <c r="H71" s="419">
        <f>IF(H$73=0,0,H$70+G$71)</f>
        <v>0</v>
      </c>
      <c r="K71" s="419">
        <f>IF(K$73=0,0,K$70+H$71)</f>
        <v>0</v>
      </c>
      <c r="L71" s="419">
        <f>IF(L$73=0,0,L$70+K$71)</f>
        <v>0</v>
      </c>
      <c r="M71" s="419">
        <f t="shared" ref="M71:P71" si="66">IF(M$73=0,0,M$70+L$71)</f>
        <v>0</v>
      </c>
      <c r="N71" s="419">
        <f t="shared" si="66"/>
        <v>0</v>
      </c>
      <c r="O71" s="419">
        <f t="shared" si="66"/>
        <v>0</v>
      </c>
      <c r="P71" s="419">
        <f t="shared" si="66"/>
        <v>0</v>
      </c>
      <c r="X71" s="416"/>
      <c r="Y71" s="416"/>
      <c r="Z71" s="416"/>
      <c r="AA71" s="416"/>
      <c r="AB71" s="416"/>
      <c r="AC71" s="416"/>
      <c r="AD71" s="416"/>
      <c r="AE71" s="416"/>
    </row>
    <row r="72" spans="1:31" s="412" customFormat="1" ht="10.5" hidden="1" x14ac:dyDescent="0.25">
      <c r="A72" s="419"/>
      <c r="C72" s="419"/>
      <c r="D72" s="419"/>
      <c r="E72" s="419"/>
      <c r="F72" s="419"/>
      <c r="G72" s="419"/>
      <c r="H72" s="419"/>
      <c r="K72" s="419"/>
      <c r="L72" s="419"/>
      <c r="M72" s="419"/>
      <c r="N72" s="419"/>
      <c r="O72" s="419"/>
      <c r="P72" s="419"/>
      <c r="X72" s="416"/>
      <c r="Y72" s="416"/>
      <c r="Z72" s="416"/>
      <c r="AA72" s="416"/>
      <c r="AB72" s="416"/>
      <c r="AC72" s="416"/>
      <c r="AD72" s="416"/>
      <c r="AE72" s="416"/>
    </row>
    <row r="73" spans="1:31" s="412" customFormat="1" ht="10.5" hidden="1" x14ac:dyDescent="0.25">
      <c r="A73" s="419" t="s">
        <v>6</v>
      </c>
      <c r="C73" s="419">
        <f>IF(C$67="oui",Grundlagen!$B$7,0)</f>
        <v>0</v>
      </c>
      <c r="D73" s="419">
        <f>IF(D$67="oui",Grundlagen!$B$7,0)</f>
        <v>0</v>
      </c>
      <c r="E73" s="419">
        <f>IF(E$67="oui",Grundlagen!$B$7,0)</f>
        <v>0</v>
      </c>
      <c r="F73" s="419">
        <f>IF(F$67="oui",Grundlagen!$B$7,0)</f>
        <v>0</v>
      </c>
      <c r="G73" s="419">
        <f>IF(G$67="oui",Grundlagen!$B$7,0)</f>
        <v>0</v>
      </c>
      <c r="H73" s="419">
        <f>IF(H$67="oui",Grundlagen!$B$7,0)</f>
        <v>0</v>
      </c>
      <c r="K73" s="419">
        <f>IF(K$67="oui",Grundlagen!$B$7,0)</f>
        <v>0</v>
      </c>
      <c r="L73" s="419">
        <f>IF(L$67="oui",Grundlagen!$B$7,0)</f>
        <v>0</v>
      </c>
      <c r="M73" s="419">
        <f>IF(M$67="oui",Grundlagen!$B$7,0)</f>
        <v>0</v>
      </c>
      <c r="N73" s="419">
        <f>IF(N$67="oui",Grundlagen!$B$7,0)</f>
        <v>0</v>
      </c>
      <c r="O73" s="419">
        <f>IF(O$67="oui",Grundlagen!$B$7,0)</f>
        <v>0</v>
      </c>
      <c r="P73" s="419">
        <f>IF(P$67="oui",Grundlagen!$B$7,0)</f>
        <v>0</v>
      </c>
      <c r="X73" s="416"/>
      <c r="Y73" s="416"/>
      <c r="Z73" s="416"/>
      <c r="AA73" s="416"/>
      <c r="AB73" s="416"/>
      <c r="AC73" s="416"/>
      <c r="AD73" s="416"/>
      <c r="AE73" s="416"/>
    </row>
    <row r="74" spans="1:31" s="412" customFormat="1" ht="10.5" hidden="1" x14ac:dyDescent="0.25">
      <c r="A74" s="419" t="s">
        <v>158</v>
      </c>
      <c r="C74" s="419">
        <f>C$73</f>
        <v>0</v>
      </c>
      <c r="D74" s="419">
        <f>C$74+D$73</f>
        <v>0</v>
      </c>
      <c r="E74" s="419">
        <f t="shared" ref="E74:H74" si="67">D$74+E$73</f>
        <v>0</v>
      </c>
      <c r="F74" s="419">
        <f t="shared" si="67"/>
        <v>0</v>
      </c>
      <c r="G74" s="419">
        <f t="shared" si="67"/>
        <v>0</v>
      </c>
      <c r="H74" s="419">
        <f t="shared" si="67"/>
        <v>0</v>
      </c>
      <c r="K74" s="419">
        <f>H$74+K$73</f>
        <v>0</v>
      </c>
      <c r="L74" s="419">
        <f>K$74+L$73</f>
        <v>0</v>
      </c>
      <c r="M74" s="419">
        <f t="shared" ref="M74:P74" si="68">L$74+M$73</f>
        <v>0</v>
      </c>
      <c r="N74" s="419">
        <f t="shared" si="68"/>
        <v>0</v>
      </c>
      <c r="O74" s="419">
        <f t="shared" si="68"/>
        <v>0</v>
      </c>
      <c r="P74" s="419">
        <f t="shared" si="68"/>
        <v>0</v>
      </c>
      <c r="X74" s="416"/>
      <c r="Y74" s="416"/>
      <c r="Z74" s="416"/>
      <c r="AA74" s="416"/>
      <c r="AB74" s="416"/>
      <c r="AC74" s="416"/>
      <c r="AD74" s="416"/>
      <c r="AE74" s="416"/>
    </row>
    <row r="75" spans="1:31" s="412" customFormat="1" ht="10.5" hidden="1" x14ac:dyDescent="0.25">
      <c r="A75" s="419"/>
      <c r="C75" s="419"/>
      <c r="D75" s="419"/>
      <c r="E75" s="419"/>
      <c r="F75" s="419"/>
      <c r="G75" s="419"/>
      <c r="H75" s="419"/>
      <c r="K75" s="419"/>
      <c r="L75" s="419"/>
      <c r="M75" s="419"/>
      <c r="N75" s="419"/>
      <c r="O75" s="419"/>
      <c r="P75" s="419"/>
      <c r="X75" s="416"/>
      <c r="Y75" s="416"/>
      <c r="Z75" s="416"/>
      <c r="AA75" s="416"/>
      <c r="AB75" s="416"/>
      <c r="AC75" s="416"/>
      <c r="AD75" s="416"/>
      <c r="AE75" s="416"/>
    </row>
    <row r="76" spans="1:31" s="412" customFormat="1" ht="10.5" hidden="1" x14ac:dyDescent="0.25">
      <c r="A76" s="419" t="s">
        <v>159</v>
      </c>
      <c r="C76" s="419">
        <f>IF(C$71&gt;C$74,C$71-C$74,0)</f>
        <v>0</v>
      </c>
      <c r="D76" s="419">
        <f t="shared" ref="D76:H76" si="69">IF(D$71&gt;D$74,D$71-D$74,0)</f>
        <v>0</v>
      </c>
      <c r="E76" s="419">
        <f t="shared" si="69"/>
        <v>0</v>
      </c>
      <c r="F76" s="419">
        <f t="shared" si="69"/>
        <v>0</v>
      </c>
      <c r="G76" s="419">
        <f t="shared" si="69"/>
        <v>0</v>
      </c>
      <c r="H76" s="419">
        <f t="shared" si="69"/>
        <v>0</v>
      </c>
      <c r="K76" s="419">
        <f>IF(K$71&gt;K$74,K$71-K$74,0)</f>
        <v>0</v>
      </c>
      <c r="L76" s="419">
        <f t="shared" ref="L76:P76" si="70">IF(L$71&gt;L$74,L$71-L$74,0)</f>
        <v>0</v>
      </c>
      <c r="M76" s="419">
        <f t="shared" si="70"/>
        <v>0</v>
      </c>
      <c r="N76" s="419">
        <f t="shared" si="70"/>
        <v>0</v>
      </c>
      <c r="O76" s="419">
        <f t="shared" si="70"/>
        <v>0</v>
      </c>
      <c r="P76" s="419">
        <f t="shared" si="70"/>
        <v>0</v>
      </c>
      <c r="X76" s="416"/>
      <c r="Y76" s="416"/>
      <c r="Z76" s="416"/>
      <c r="AA76" s="416"/>
      <c r="AB76" s="416"/>
      <c r="AC76" s="416"/>
      <c r="AD76" s="416"/>
      <c r="AE76" s="416"/>
    </row>
    <row r="77" spans="1:31" s="412" customFormat="1" ht="10.5" hidden="1" x14ac:dyDescent="0.25">
      <c r="A77" s="419" t="s">
        <v>160</v>
      </c>
      <c r="C77" s="419">
        <f>C$79</f>
        <v>0</v>
      </c>
      <c r="D77" s="419">
        <f>C$77+D$79</f>
        <v>0</v>
      </c>
      <c r="E77" s="419">
        <f t="shared" ref="E77:H77" si="71">D$77+E$79</f>
        <v>0</v>
      </c>
      <c r="F77" s="419">
        <f t="shared" si="71"/>
        <v>0</v>
      </c>
      <c r="G77" s="419">
        <f t="shared" si="71"/>
        <v>0</v>
      </c>
      <c r="H77" s="419">
        <f t="shared" si="71"/>
        <v>0</v>
      </c>
      <c r="K77" s="419">
        <f>H$77+K$79</f>
        <v>0</v>
      </c>
      <c r="L77" s="419">
        <f>K$77+L$79</f>
        <v>0</v>
      </c>
      <c r="M77" s="419">
        <f t="shared" ref="M77:P77" si="72">L$77+M$79</f>
        <v>0</v>
      </c>
      <c r="N77" s="419">
        <f t="shared" si="72"/>
        <v>0</v>
      </c>
      <c r="O77" s="419">
        <f t="shared" si="72"/>
        <v>0</v>
      </c>
      <c r="P77" s="419">
        <f t="shared" si="72"/>
        <v>0</v>
      </c>
      <c r="X77" s="416"/>
      <c r="Y77" s="416"/>
      <c r="Z77" s="416"/>
      <c r="AA77" s="416"/>
      <c r="AB77" s="416"/>
      <c r="AC77" s="416"/>
      <c r="AD77" s="416"/>
      <c r="AE77" s="416"/>
    </row>
    <row r="78" spans="1:31" s="412" customFormat="1" ht="10.5" hidden="1" x14ac:dyDescent="0.25">
      <c r="A78" s="419"/>
      <c r="C78" s="419"/>
      <c r="D78" s="419"/>
      <c r="E78" s="419"/>
      <c r="F78" s="419"/>
      <c r="G78" s="419"/>
      <c r="H78" s="419"/>
      <c r="K78" s="419"/>
      <c r="L78" s="419"/>
      <c r="M78" s="419"/>
      <c r="N78" s="419"/>
      <c r="O78" s="419"/>
      <c r="P78" s="419"/>
      <c r="X78" s="416"/>
      <c r="Y78" s="416"/>
      <c r="Z78" s="416"/>
      <c r="AA78" s="416"/>
      <c r="AB78" s="416"/>
      <c r="AC78" s="416"/>
      <c r="AD78" s="416"/>
      <c r="AE78" s="416"/>
    </row>
    <row r="79" spans="1:31" s="412" customFormat="1" ht="10.5" hidden="1" x14ac:dyDescent="0.25">
      <c r="A79" s="420" t="s">
        <v>161</v>
      </c>
      <c r="C79" s="419">
        <f>IF(C$70=0,0,C$76)</f>
        <v>0</v>
      </c>
      <c r="D79" s="420">
        <f>IF(D$70=0,0,D$76-C$77)</f>
        <v>0</v>
      </c>
      <c r="E79" s="420">
        <f t="shared" ref="E79:H79" si="73">IF(E$70=0,0,E$76-D$77)</f>
        <v>0</v>
      </c>
      <c r="F79" s="420">
        <f t="shared" si="73"/>
        <v>0</v>
      </c>
      <c r="G79" s="420">
        <f t="shared" si="73"/>
        <v>0</v>
      </c>
      <c r="H79" s="420">
        <f t="shared" si="73"/>
        <v>0</v>
      </c>
      <c r="K79" s="420">
        <f>IF(K$70=0,0,K$76-H$77)</f>
        <v>0</v>
      </c>
      <c r="L79" s="420">
        <f t="shared" ref="L79:P79" si="74">IF(L$70=0,0,L$76-K$77)</f>
        <v>0</v>
      </c>
      <c r="M79" s="420">
        <f t="shared" si="74"/>
        <v>0</v>
      </c>
      <c r="N79" s="420">
        <f t="shared" si="74"/>
        <v>0</v>
      </c>
      <c r="O79" s="420">
        <f t="shared" si="74"/>
        <v>0</v>
      </c>
      <c r="P79" s="420">
        <f t="shared" si="74"/>
        <v>0</v>
      </c>
      <c r="X79" s="416"/>
      <c r="Y79" s="416"/>
      <c r="Z79" s="416"/>
      <c r="AA79" s="416"/>
      <c r="AB79" s="416"/>
      <c r="AC79" s="416"/>
      <c r="AD79" s="416"/>
      <c r="AE79" s="416"/>
    </row>
    <row r="80" spans="1:31" s="412" customFormat="1" ht="10.5" hidden="1" x14ac:dyDescent="0.25">
      <c r="A80" s="421" t="s">
        <v>6</v>
      </c>
      <c r="C80" s="421">
        <f>ROUND((IF(C$73=0,0,C$79-C$70)*-1)/5,2)*5</f>
        <v>0</v>
      </c>
      <c r="D80" s="421">
        <f>ROUND((IF(D$73=0,0,D$79-D$70)*-1)/5,2)*5</f>
        <v>0</v>
      </c>
      <c r="E80" s="421">
        <f t="shared" ref="E80:H80" si="75">ROUND((IF(E$73=0,0,E$79-E$70)*-1)/5,2)*5</f>
        <v>0</v>
      </c>
      <c r="F80" s="421">
        <f t="shared" si="75"/>
        <v>0</v>
      </c>
      <c r="G80" s="421">
        <f t="shared" si="75"/>
        <v>0</v>
      </c>
      <c r="H80" s="421">
        <f t="shared" si="75"/>
        <v>0</v>
      </c>
      <c r="K80" s="421">
        <f t="shared" ref="K80:P80" si="76">ROUND((IF(K$73=0,0,K$79-K$70)*-1)/5,2)*5</f>
        <v>0</v>
      </c>
      <c r="L80" s="421">
        <f t="shared" si="76"/>
        <v>0</v>
      </c>
      <c r="M80" s="421">
        <f t="shared" si="76"/>
        <v>0</v>
      </c>
      <c r="N80" s="421">
        <f t="shared" si="76"/>
        <v>0</v>
      </c>
      <c r="O80" s="421">
        <f t="shared" si="76"/>
        <v>0</v>
      </c>
      <c r="P80" s="421">
        <f t="shared" si="76"/>
        <v>0</v>
      </c>
      <c r="X80" s="416"/>
      <c r="Y80" s="416"/>
      <c r="Z80" s="416"/>
      <c r="AA80" s="416"/>
      <c r="AB80" s="416"/>
      <c r="AC80" s="416"/>
      <c r="AD80" s="416"/>
      <c r="AE80" s="416"/>
    </row>
    <row r="81" spans="1:31" s="412" customFormat="1" ht="10.5" hidden="1" x14ac:dyDescent="0.25">
      <c r="A81" s="420" t="s">
        <v>162</v>
      </c>
      <c r="C81" s="419">
        <f t="shared" ref="C81:H81" si="77">IF(C$67="oui",0,C$39)</f>
        <v>0</v>
      </c>
      <c r="D81" s="419">
        <f t="shared" si="77"/>
        <v>0</v>
      </c>
      <c r="E81" s="419">
        <f t="shared" si="77"/>
        <v>0</v>
      </c>
      <c r="F81" s="419">
        <f t="shared" si="77"/>
        <v>0</v>
      </c>
      <c r="G81" s="419">
        <f t="shared" si="77"/>
        <v>0</v>
      </c>
      <c r="H81" s="419">
        <f t="shared" si="77"/>
        <v>0</v>
      </c>
      <c r="K81" s="419">
        <f t="shared" ref="K81:P81" si="78">IF(K$67="oui",0,K$39)</f>
        <v>0</v>
      </c>
      <c r="L81" s="419">
        <f t="shared" si="78"/>
        <v>0</v>
      </c>
      <c r="M81" s="419">
        <f t="shared" si="78"/>
        <v>0</v>
      </c>
      <c r="N81" s="419">
        <f t="shared" si="78"/>
        <v>0</v>
      </c>
      <c r="O81" s="419">
        <f t="shared" si="78"/>
        <v>0</v>
      </c>
      <c r="P81" s="419">
        <f t="shared" si="78"/>
        <v>0</v>
      </c>
      <c r="Q81" s="430">
        <f>SUM(C81:P81)</f>
        <v>0</v>
      </c>
      <c r="X81" s="416"/>
      <c r="Y81" s="416"/>
      <c r="Z81" s="416"/>
      <c r="AA81" s="416"/>
      <c r="AB81" s="416"/>
      <c r="AC81" s="416"/>
      <c r="AD81" s="416"/>
      <c r="AE81" s="416"/>
    </row>
    <row r="82" spans="1:31" s="412" customFormat="1" ht="10" x14ac:dyDescent="0.2">
      <c r="X82" s="416"/>
      <c r="Y82" s="416"/>
      <c r="Z82" s="416"/>
      <c r="AA82" s="416"/>
      <c r="AB82" s="416"/>
      <c r="AC82" s="416"/>
      <c r="AD82" s="416"/>
      <c r="AE82" s="416"/>
    </row>
    <row r="83" spans="1:31" s="412" customFormat="1" ht="10" x14ac:dyDescent="0.2">
      <c r="X83" s="416"/>
      <c r="Y83" s="416"/>
      <c r="Z83" s="416"/>
      <c r="AA83" s="416"/>
      <c r="AB83" s="416"/>
      <c r="AC83" s="416"/>
      <c r="AD83" s="416"/>
      <c r="AE83" s="416"/>
    </row>
  </sheetData>
  <sheetProtection algorithmName="SHA-512" hashValue="fBYu+rSyEeyoZHrqEdC5zXKz1KacTA3g6OGdJcTfj4DFU+fRxWvjcPq/CdteTMbYdnSJbBNJhMEEXsFwL3JndQ==" saltValue="2IkPZYoTz3kBDTzQtzym1w==" spinCount="100000" sheet="1" objects="1" scenarios="1"/>
  <mergeCells count="48">
    <mergeCell ref="K52:K53"/>
    <mergeCell ref="C52:C53"/>
    <mergeCell ref="L52:L53"/>
    <mergeCell ref="D52:D53"/>
    <mergeCell ref="E52:E53"/>
    <mergeCell ref="F52:F53"/>
    <mergeCell ref="G52:G53"/>
    <mergeCell ref="H52:H53"/>
    <mergeCell ref="F14:G14"/>
    <mergeCell ref="F15:G15"/>
    <mergeCell ref="F16:G16"/>
    <mergeCell ref="S18:U18"/>
    <mergeCell ref="S20:U22"/>
    <mergeCell ref="C7:D7"/>
    <mergeCell ref="F7:G7"/>
    <mergeCell ref="C8:D8"/>
    <mergeCell ref="F8:G8"/>
    <mergeCell ref="C9:D9"/>
    <mergeCell ref="F9:G9"/>
    <mergeCell ref="P1:Q3"/>
    <mergeCell ref="A2:C2"/>
    <mergeCell ref="I2:K2"/>
    <mergeCell ref="Y2:Y5"/>
    <mergeCell ref="AA2:AA5"/>
    <mergeCell ref="S4:T4"/>
    <mergeCell ref="X4:X5"/>
    <mergeCell ref="Z4:Z5"/>
    <mergeCell ref="A1:C1"/>
    <mergeCell ref="D1:F2"/>
    <mergeCell ref="G1:H3"/>
    <mergeCell ref="I1:K1"/>
    <mergeCell ref="L1:N2"/>
    <mergeCell ref="AB4:AB5"/>
    <mergeCell ref="AC4:AC5"/>
    <mergeCell ref="AD4:AD5"/>
    <mergeCell ref="AH4:AI5"/>
    <mergeCell ref="C6:D6"/>
    <mergeCell ref="F6:G6"/>
    <mergeCell ref="M52:M53"/>
    <mergeCell ref="N52:N53"/>
    <mergeCell ref="O52:O53"/>
    <mergeCell ref="P52:P53"/>
    <mergeCell ref="S24:U26"/>
    <mergeCell ref="S28:U30"/>
    <mergeCell ref="S31:U32"/>
    <mergeCell ref="S33:U35"/>
    <mergeCell ref="S36:U40"/>
    <mergeCell ref="S41:U43"/>
  </mergeCells>
  <conditionalFormatting sqref="A25">
    <cfRule type="beginsWith" dxfId="506" priority="40" operator="beginsWith" text="Nom">
      <formula>LEFT(A25,LEN("Nom"))="Nom"</formula>
    </cfRule>
  </conditionalFormatting>
  <conditionalFormatting sqref="A26">
    <cfRule type="containsText" dxfId="505" priority="14" operator="containsText" text="Nombre d'heures">
      <formula>NOT(ISERROR(SEARCH("Nombre d'heures",A26)))</formula>
    </cfRule>
  </conditionalFormatting>
  <conditionalFormatting sqref="A28">
    <cfRule type="containsText" dxfId="504" priority="42" operator="containsText" text="Nombre d'heures II">
      <formula>NOT(ISERROR(SEARCH("Nombre d'heures II",A28)))</formula>
    </cfRule>
  </conditionalFormatting>
  <conditionalFormatting sqref="A24:B24">
    <cfRule type="expression" dxfId="503" priority="39">
      <formula>$G$11="oui"</formula>
    </cfRule>
  </conditionalFormatting>
  <conditionalFormatting sqref="A25:B25">
    <cfRule type="expression" dxfId="502" priority="37">
      <formula>$P$10&gt;0.1</formula>
    </cfRule>
  </conditionalFormatting>
  <conditionalFormatting sqref="A50:B50">
    <cfRule type="expression" dxfId="501" priority="38">
      <formula>$G$11="ja"</formula>
    </cfRule>
  </conditionalFormatting>
  <conditionalFormatting sqref="A60:B64">
    <cfRule type="expression" dxfId="500" priority="33">
      <formula>$G$12="non"</formula>
    </cfRule>
  </conditionalFormatting>
  <conditionalFormatting sqref="B25">
    <cfRule type="beginsWith" dxfId="499" priority="34" operator="beginsWith" text="Nb">
      <formula>LEFT(B25,LEN("Nb"))="Nb"</formula>
    </cfRule>
  </conditionalFormatting>
  <conditionalFormatting sqref="B26">
    <cfRule type="containsText" dxfId="498" priority="13" operator="containsText" text="h">
      <formula>NOT(ISERROR(SEARCH("h",B26)))</formula>
    </cfRule>
  </conditionalFormatting>
  <conditionalFormatting sqref="B28">
    <cfRule type="containsText" dxfId="497" priority="35" operator="containsText" text="h">
      <formula>NOT(ISERROR(SEARCH("h",B28)))</formula>
    </cfRule>
  </conditionalFormatting>
  <conditionalFormatting sqref="C17">
    <cfRule type="expression" dxfId="496" priority="89">
      <formula>$A$17="13ème salaire"</formula>
    </cfRule>
  </conditionalFormatting>
  <conditionalFormatting sqref="C22:H22">
    <cfRule type="cellIs" dxfId="495" priority="26" operator="greaterThan">
      <formula>1</formula>
    </cfRule>
  </conditionalFormatting>
  <conditionalFormatting sqref="C23:H23 K23:P23">
    <cfRule type="expression" dxfId="494" priority="54">
      <formula>$B$23="CHF"</formula>
    </cfRule>
  </conditionalFormatting>
  <conditionalFormatting sqref="C24:H24 K24:P24">
    <cfRule type="expression" dxfId="493" priority="79">
      <formula>$G$11="ja"</formula>
    </cfRule>
  </conditionalFormatting>
  <conditionalFormatting sqref="C25:H25 K25:P25">
    <cfRule type="expression" dxfId="492" priority="65">
      <formula>$B$25="Anz."</formula>
    </cfRule>
  </conditionalFormatting>
  <conditionalFormatting sqref="C26:H26">
    <cfRule type="expression" dxfId="491" priority="16">
      <formula>$G$12="oui"</formula>
    </cfRule>
    <cfRule type="expression" dxfId="490" priority="17">
      <formula>$C$16="Salaire horaire"</formula>
    </cfRule>
  </conditionalFormatting>
  <conditionalFormatting sqref="C28:H28 K28:P28">
    <cfRule type="expression" dxfId="489" priority="80">
      <formula>$G$10="Ja"</formula>
    </cfRule>
  </conditionalFormatting>
  <conditionalFormatting sqref="C50:H50">
    <cfRule type="expression" dxfId="488" priority="72">
      <formula>C51&lt;-0.01</formula>
    </cfRule>
    <cfRule type="expression" dxfId="487" priority="71">
      <formula>C51&gt;0.01</formula>
    </cfRule>
  </conditionalFormatting>
  <conditionalFormatting sqref="C51:H51">
    <cfRule type="cellIs" dxfId="486" priority="76" operator="greaterThan">
      <formula>0.04</formula>
    </cfRule>
    <cfRule type="cellIs" dxfId="485" priority="75" operator="lessThan">
      <formula>-0.04</formula>
    </cfRule>
  </conditionalFormatting>
  <conditionalFormatting sqref="C60:Q63 C64:P64">
    <cfRule type="expression" dxfId="484" priority="68">
      <formula>$G$12="nein"</formula>
    </cfRule>
  </conditionalFormatting>
  <conditionalFormatting sqref="G1">
    <cfRule type="containsText" dxfId="483" priority="123" operator="containsText" text="Achtung Fehler">
      <formula>NOT(ISERROR(SEARCH("Achtung Fehler",G1)))</formula>
    </cfRule>
  </conditionalFormatting>
  <conditionalFormatting sqref="G10">
    <cfRule type="expression" dxfId="482" priority="58">
      <formula>$C$16="Salaire horaire"</formula>
    </cfRule>
  </conditionalFormatting>
  <conditionalFormatting sqref="H17:H18">
    <cfRule type="beginsWith" dxfId="481" priority="50" operator="beginsWith" text="ATT">
      <formula>LEFT(H17,LEN("ATT"))="ATT"</formula>
    </cfRule>
  </conditionalFormatting>
  <conditionalFormatting sqref="I25">
    <cfRule type="beginsWith" dxfId="480" priority="56" operator="beginsWith" text="Nom">
      <formula>LEFT(I25,LEN("Nom"))="Nom"</formula>
    </cfRule>
  </conditionalFormatting>
  <conditionalFormatting sqref="I26">
    <cfRule type="containsText" dxfId="479" priority="19" operator="containsText" text="Nombre d'heures">
      <formula>NOT(ISERROR(SEARCH("Nombre d'heures",I26)))</formula>
    </cfRule>
  </conditionalFormatting>
  <conditionalFormatting sqref="I28">
    <cfRule type="containsText" dxfId="478" priority="64" operator="containsText" text="Nombre d'heures II">
      <formula>NOT(ISERROR(SEARCH("Nombre d'heures II",I28)))</formula>
    </cfRule>
  </conditionalFormatting>
  <conditionalFormatting sqref="I24:J24">
    <cfRule type="expression" dxfId="477" priority="67">
      <formula>$G$11="oui"</formula>
    </cfRule>
  </conditionalFormatting>
  <conditionalFormatting sqref="I25:J25">
    <cfRule type="expression" dxfId="476" priority="57">
      <formula>$P$10&gt;0.1</formula>
    </cfRule>
  </conditionalFormatting>
  <conditionalFormatting sqref="I50:J50">
    <cfRule type="expression" dxfId="475" priority="66">
      <formula>$G$11="ja"</formula>
    </cfRule>
  </conditionalFormatting>
  <conditionalFormatting sqref="J25">
    <cfRule type="beginsWith" dxfId="474" priority="55" operator="beginsWith" text="Anz">
      <formula>LEFT(J25,LEN("Anz"))="Anz"</formula>
    </cfRule>
  </conditionalFormatting>
  <conditionalFormatting sqref="J26">
    <cfRule type="containsText" dxfId="473" priority="18" operator="containsText" text="h">
      <formula>NOT(ISERROR(SEARCH("h",J26)))</formula>
    </cfRule>
  </conditionalFormatting>
  <conditionalFormatting sqref="J28">
    <cfRule type="containsText" dxfId="472" priority="59" operator="containsText" text="Std.">
      <formula>NOT(ISERROR(SEARCH("Std.",J28)))</formula>
    </cfRule>
    <cfRule type="containsText" dxfId="471" priority="60" operator="containsText" text="Std.">
      <formula>NOT(ISERROR(SEARCH("Std.",J28)))</formula>
    </cfRule>
    <cfRule type="containsText" dxfId="470" priority="61" operator="containsText" text="Std.">
      <formula>NOT(ISERROR(SEARCH("Std.",J28)))</formula>
    </cfRule>
  </conditionalFormatting>
  <conditionalFormatting sqref="K22:P22">
    <cfRule type="cellIs" dxfId="469" priority="27" operator="greaterThan">
      <formula>1</formula>
    </cfRule>
  </conditionalFormatting>
  <conditionalFormatting sqref="K26:P26">
    <cfRule type="expression" dxfId="468" priority="20">
      <formula>$G$12="oui"</formula>
    </cfRule>
    <cfRule type="expression" dxfId="467" priority="21">
      <formula>$C$16="Salaire horaire"</formula>
    </cfRule>
  </conditionalFormatting>
  <conditionalFormatting sqref="K50:P50">
    <cfRule type="expression" dxfId="466" priority="69">
      <formula>K51&gt;0.01</formula>
    </cfRule>
    <cfRule type="expression" dxfId="465" priority="70">
      <formula>K51&lt;-0.01</formula>
    </cfRule>
  </conditionalFormatting>
  <conditionalFormatting sqref="K51:P51">
    <cfRule type="cellIs" dxfId="464" priority="73" operator="lessThan">
      <formula>-0.04</formula>
    </cfRule>
    <cfRule type="cellIs" dxfId="463" priority="74" operator="greaterThan">
      <formula>0.04</formula>
    </cfRule>
  </conditionalFormatting>
  <conditionalFormatting sqref="L7">
    <cfRule type="expression" dxfId="462" priority="45">
      <formula>$C$16="à choisir"</formula>
    </cfRule>
  </conditionalFormatting>
  <conditionalFormatting sqref="L12">
    <cfRule type="expression" dxfId="461" priority="48">
      <formula>$G$10="oui"</formula>
    </cfRule>
  </conditionalFormatting>
  <conditionalFormatting sqref="M8">
    <cfRule type="expression" dxfId="460" priority="44">
      <formula>$C$16="Salaire horaire"</formula>
    </cfRule>
    <cfRule type="expression" dxfId="459" priority="43">
      <formula>$C$16="salaire mensuel"</formula>
    </cfRule>
  </conditionalFormatting>
  <conditionalFormatting sqref="M13">
    <cfRule type="expression" dxfId="458" priority="46">
      <formula>$G$10="oui"</formula>
    </cfRule>
  </conditionalFormatting>
  <conditionalFormatting sqref="P1">
    <cfRule type="containsText" dxfId="457" priority="122" operator="containsText" text="Achtung Fehler">
      <formula>NOT(ISERROR(SEARCH("Achtung Fehler",P1)))</formula>
    </cfRule>
  </conditionalFormatting>
  <conditionalFormatting sqref="P7">
    <cfRule type="expression" dxfId="456" priority="47">
      <formula>$Q$7="du Sal.horaire"</formula>
    </cfRule>
  </conditionalFormatting>
  <conditionalFormatting sqref="P10">
    <cfRule type="expression" dxfId="455" priority="49">
      <formula>$Q$10="heures"</formula>
    </cfRule>
  </conditionalFormatting>
  <conditionalFormatting sqref="Q64">
    <cfRule type="expression" dxfId="454" priority="32">
      <formula>$G$12="non"</formula>
    </cfRule>
  </conditionalFormatting>
  <conditionalFormatting sqref="S20">
    <cfRule type="beginsWith" dxfId="453" priority="5" operator="beginsWith" text="Vereinfachtes">
      <formula>LEFT(S20,LEN("Vereinfachtes"))="Vereinfachtes"</formula>
    </cfRule>
    <cfRule type="beginsWith" dxfId="452" priority="4" operator="beginsWith" text="Hinweis">
      <formula>LEFT(S20,LEN("Hinweis"))="Hinweis"</formula>
    </cfRule>
    <cfRule type="beginsWith" dxfId="451" priority="3" operator="beginsWith" text="ACHTUNG">
      <formula>LEFT(S20,LEN("ACHTUNG"))="ACHTUNG"</formula>
    </cfRule>
  </conditionalFormatting>
  <conditionalFormatting sqref="S24">
    <cfRule type="beginsWith" dxfId="450" priority="2" operator="beginsWith" text="ACHTUNG">
      <formula>LEFT(S24,LEN("ACHTUNG"))="ACHTUNG"</formula>
    </cfRule>
  </conditionalFormatting>
  <conditionalFormatting sqref="S28">
    <cfRule type="beginsWith" dxfId="449" priority="1" operator="beginsWith" text="ACHTUNG">
      <formula>LEFT(S28,LEN("ACHTUNG"))="ACHTUNG"</formula>
    </cfRule>
  </conditionalFormatting>
  <conditionalFormatting sqref="S36:S37">
    <cfRule type="beginsWith" dxfId="448" priority="6" operator="beginsWith" text="ACHTUNG">
      <formula>LEFT(S36,LEN("ACHTUNG"))="ACHTUNG"</formula>
    </cfRule>
  </conditionalFormatting>
  <conditionalFormatting sqref="W1:AJ10 W11:X12 Z11:AJ12">
    <cfRule type="expression" dxfId="447" priority="51">
      <formula>W1&lt;&gt;""</formula>
    </cfRule>
  </conditionalFormatting>
  <conditionalFormatting sqref="W13:AJ1048576">
    <cfRule type="expression" dxfId="446" priority="15">
      <formula>W13&lt;&gt;""</formula>
    </cfRule>
  </conditionalFormatting>
  <dataValidations count="7">
    <dataValidation type="list" allowBlank="1" showInputMessage="1" showErrorMessage="1" sqref="F9:G9" xr:uid="{BFF93244-EE30-480F-8090-53A8D9977FD6}">
      <formula1>$AB$6:$AB$19</formula1>
    </dataValidation>
    <dataValidation type="list" allowBlank="1" showInputMessage="1" showErrorMessage="1" sqref="G10" xr:uid="{69737E9B-03A1-4FBC-AD32-93EEA92DD812}">
      <formula1>$AC$13:$AC$14</formula1>
    </dataValidation>
    <dataValidation type="list" allowBlank="1" showInputMessage="1" showErrorMessage="1" sqref="C17" xr:uid="{2C67A9FE-4CF4-4883-B9D9-C1FF96D0FC31}">
      <formula1>$Y$11:$Y$12</formula1>
    </dataValidation>
    <dataValidation type="list" allowBlank="1" showInputMessage="1" showErrorMessage="1" sqref="C10" xr:uid="{A16A80EA-AE80-455B-B1C1-5CABE841BD27}">
      <formula1>$X$6:$X$8</formula1>
    </dataValidation>
    <dataValidation type="list" allowBlank="1" showInputMessage="1" showErrorMessage="1" sqref="C16" xr:uid="{70379CE0-1F79-43DF-A5A6-410CC210DE07}">
      <formula1>$X$11:$X$13</formula1>
    </dataValidation>
    <dataValidation type="list" allowBlank="1" showInputMessage="1" showErrorMessage="1" sqref="G11:G12" xr:uid="{F0F19BFF-C965-436C-89BA-80FF79329834}">
      <formula1>$AH$6:$AH$8</formula1>
    </dataValidation>
    <dataValidation type="list" allowBlank="1" showInputMessage="1" showErrorMessage="1" sqref="G13" xr:uid="{878D707E-27B9-4411-A6A6-2E04151CA110}">
      <formula1>$Y$6:$Y$8</formula1>
    </dataValidation>
  </dataValidations>
  <hyperlinks>
    <hyperlink ref="P1:Q3" location="Fehler1" display="Fehler1" xr:uid="{22F14E39-966F-4009-9311-C18C9D5872E4}"/>
    <hyperlink ref="G1:H3" location="Fehler1" display="Fehler1" xr:uid="{799C594D-FF08-4A46-A01C-64802985576C}"/>
  </hyperlinks>
  <pageMargins left="0.23622047244094491" right="0.23622047244094491" top="0.74803149606299213" bottom="0.74803149606299213" header="0.31496062992125984" footer="0.31496062992125984"/>
  <pageSetup paperSize="9" scale="81" fitToWidth="2" pageOrder="overThenDown" orientation="portrait" r:id="rId1"/>
  <headerFooter>
    <oddHeader>&amp;R&amp;"Arial,Standard"&amp;9Koordinationsstelle &amp;"MS Sans Serif,Standard"&amp;10
&amp;"Arial,Fett"&amp;9Berner Modell&amp;"Arial,Standard" - freie Lebensgestaltung von Menschen mit Behinderungen
HelpLine 031 300 33 70 / info@bernermodell.ch</oddHeader>
    <oddFooter>&amp;L&amp;"Arial,Standard"&amp;9Seite &amp;P von &amp;N&amp;R&amp;"Arial,Standard"&amp;9Lohnprogramm V10.0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BD"/>
    <pageSetUpPr fitToPage="1"/>
  </sheetPr>
  <dimension ref="A1:AK83"/>
  <sheetViews>
    <sheetView showGridLines="0" showZeros="0" zoomScaleNormal="100" workbookViewId="0">
      <selection activeCell="C6" sqref="C6:D6"/>
    </sheetView>
  </sheetViews>
  <sheetFormatPr baseColWidth="10" defaultColWidth="11.453125" defaultRowHeight="12.5" x14ac:dyDescent="0.25"/>
  <cols>
    <col min="1" max="1" width="20.81640625" style="1" customWidth="1"/>
    <col min="2" max="2" width="4.54296875" style="1" bestFit="1" customWidth="1"/>
    <col min="3" max="4" width="13.7265625" style="1" customWidth="1"/>
    <col min="5" max="5" width="14.54296875" style="1" customWidth="1"/>
    <col min="6" max="8" width="13.7265625" style="1" customWidth="1"/>
    <col min="9" max="9" width="21.1796875" style="1" customWidth="1"/>
    <col min="10" max="10" width="4.54296875" style="1" bestFit="1" customWidth="1"/>
    <col min="11" max="16" width="12.26953125" style="1" customWidth="1"/>
    <col min="17" max="17" width="14.26953125" style="1" bestFit="1" customWidth="1"/>
    <col min="18" max="18" width="5" style="1" customWidth="1"/>
    <col min="19" max="19" width="29" style="1" customWidth="1"/>
    <col min="20" max="20" width="21" style="1" customWidth="1"/>
    <col min="21" max="21" width="15.7265625" style="1" customWidth="1"/>
    <col min="22" max="22" width="8" style="1" customWidth="1"/>
    <col min="23" max="23" width="15.26953125" style="1" hidden="1" customWidth="1"/>
    <col min="24" max="31" width="15.26953125" style="68" hidden="1" customWidth="1"/>
    <col min="32" max="35" width="15.26953125" style="1" hidden="1" customWidth="1"/>
    <col min="36" max="37" width="15.26953125" style="1" customWidth="1"/>
    <col min="38" max="16384" width="11.453125" style="1"/>
  </cols>
  <sheetData>
    <row r="1" spans="1:35" ht="12.75" customHeight="1" x14ac:dyDescent="0.25">
      <c r="A1" s="474" t="str">
        <f>'PA 1'!A1:C1</f>
        <v>Nom/Prénom employeur</v>
      </c>
      <c r="B1" s="474"/>
      <c r="C1" s="474"/>
      <c r="D1" s="473" t="str">
        <f>"Programme de salaire "&amp;Grundlagen!$D$1</f>
        <v>Programme de salaire 2026</v>
      </c>
      <c r="E1" s="473"/>
      <c r="F1" s="473"/>
      <c r="G1" s="460" t="str">
        <f>IF($W45&gt;4,"Attention erreur!",IF($W$45&gt;0,"Attention remarque!",""))</f>
        <v/>
      </c>
      <c r="H1" s="460"/>
      <c r="I1" s="475" t="str">
        <f>A1</f>
        <v>Nom/Prénom employeur</v>
      </c>
      <c r="J1" s="475"/>
      <c r="K1" s="475"/>
      <c r="L1" s="473" t="str">
        <f>D1</f>
        <v>Programme de salaire 2026</v>
      </c>
      <c r="M1" s="473"/>
      <c r="N1" s="473"/>
      <c r="P1" s="460" t="str">
        <f>IF($W45&gt;4,"Attention erreur!",IF($W$45&gt;0,"Attention remarque!",""))</f>
        <v/>
      </c>
      <c r="Q1" s="460"/>
      <c r="S1" s="250" t="s">
        <v>55</v>
      </c>
      <c r="T1" s="264"/>
      <c r="U1" s="441" t="s">
        <v>56</v>
      </c>
      <c r="V1" s="442" t="s">
        <v>57</v>
      </c>
      <c r="W1" s="425"/>
      <c r="AE1" s="1"/>
    </row>
    <row r="2" spans="1:35" ht="12.75" customHeight="1" x14ac:dyDescent="0.25">
      <c r="A2" s="474" t="str">
        <f>'PA 1'!A2:C2</f>
        <v>Lieu employeur</v>
      </c>
      <c r="B2" s="474"/>
      <c r="C2" s="474"/>
      <c r="D2" s="473"/>
      <c r="E2" s="473"/>
      <c r="F2" s="473"/>
      <c r="G2" s="460"/>
      <c r="H2" s="460"/>
      <c r="I2" s="475" t="str">
        <f>A2</f>
        <v>Lieu employeur</v>
      </c>
      <c r="J2" s="475"/>
      <c r="K2" s="475"/>
      <c r="L2" s="473"/>
      <c r="M2" s="473"/>
      <c r="N2" s="473"/>
      <c r="P2" s="460"/>
      <c r="Q2" s="460"/>
      <c r="S2" s="253" t="s">
        <v>59</v>
      </c>
      <c r="T2" s="2"/>
      <c r="U2" s="225">
        <f>IF(C16="Salaire horaire",(M8*M7*52)+(M13*M12*52),(M8+Y13)*12)</f>
        <v>0</v>
      </c>
      <c r="V2" s="265"/>
      <c r="W2" s="425"/>
      <c r="Y2" s="478" t="s">
        <v>60</v>
      </c>
      <c r="AA2" s="478" t="str">
        <f>"Jahreslohn gesamt &gt; CHF "&amp;Grundlagen!$B$9</f>
        <v>Jahreslohn gesamt &gt; CHF 58800</v>
      </c>
      <c r="AE2" s="1"/>
    </row>
    <row r="3" spans="1:35" ht="5.15" customHeight="1" x14ac:dyDescent="0.25">
      <c r="G3" s="460"/>
      <c r="H3" s="460"/>
      <c r="P3" s="460"/>
      <c r="Q3" s="460"/>
      <c r="S3" s="258"/>
      <c r="V3" s="254"/>
      <c r="W3" s="425"/>
      <c r="Y3" s="478"/>
      <c r="AA3" s="478"/>
      <c r="AE3" s="1"/>
    </row>
    <row r="4" spans="1:35" ht="15" customHeight="1" thickBot="1" x14ac:dyDescent="0.35">
      <c r="A4" s="41" t="s">
        <v>61</v>
      </c>
      <c r="B4" s="41"/>
      <c r="C4" s="41"/>
      <c r="D4" s="41"/>
      <c r="E4" s="42"/>
      <c r="F4" s="42"/>
      <c r="G4" s="42"/>
      <c r="H4" s="51" t="str">
        <f>CONCATENATE($C$6," ",$C$7)</f>
        <v xml:space="preserve"> </v>
      </c>
      <c r="I4" s="440" t="s">
        <v>62</v>
      </c>
      <c r="J4" s="440"/>
      <c r="K4" s="440"/>
      <c r="L4" s="440"/>
      <c r="M4" s="42"/>
      <c r="N4" s="42"/>
      <c r="O4" s="42"/>
      <c r="P4" s="42"/>
      <c r="Q4" s="51" t="str">
        <f>CONCATENATE($C$6," ",$C$7)</f>
        <v xml:space="preserve"> </v>
      </c>
      <c r="S4" s="467" t="s">
        <v>63</v>
      </c>
      <c r="T4" s="468"/>
      <c r="U4" s="266">
        <f>((U2-(U2*SUM(T8:T14,T16,Y9)+(12*T15)))*Z14)</f>
        <v>0</v>
      </c>
      <c r="V4" s="267">
        <f>U4/365</f>
        <v>0</v>
      </c>
      <c r="W4" s="425"/>
      <c r="X4" s="476" t="s">
        <v>64</v>
      </c>
      <c r="Y4" s="478"/>
      <c r="Z4" s="476" t="s">
        <v>65</v>
      </c>
      <c r="AA4" s="478"/>
      <c r="AB4" s="479" t="s">
        <v>66</v>
      </c>
      <c r="AC4" s="480" t="s">
        <v>67</v>
      </c>
      <c r="AD4" s="477" t="s">
        <v>68</v>
      </c>
      <c r="AE4" s="1"/>
      <c r="AH4" s="476" t="s">
        <v>69</v>
      </c>
      <c r="AI4" s="476"/>
    </row>
    <row r="5" spans="1:35" ht="5.15" customHeight="1" x14ac:dyDescent="0.25">
      <c r="X5" s="476"/>
      <c r="Y5" s="478"/>
      <c r="Z5" s="476"/>
      <c r="AA5" s="478"/>
      <c r="AB5" s="479"/>
      <c r="AC5" s="480"/>
      <c r="AD5" s="477"/>
      <c r="AE5" s="2"/>
      <c r="AF5" s="4"/>
      <c r="AG5" s="48"/>
      <c r="AH5" s="476"/>
      <c r="AI5" s="476"/>
    </row>
    <row r="6" spans="1:35" s="2" customFormat="1" ht="13.5" thickBot="1" x14ac:dyDescent="0.35">
      <c r="A6" s="2" t="s">
        <v>70</v>
      </c>
      <c r="C6" s="466"/>
      <c r="D6" s="466"/>
      <c r="E6" s="2" t="s">
        <v>71</v>
      </c>
      <c r="F6" s="461"/>
      <c r="G6" s="466"/>
      <c r="I6" s="6" t="s">
        <v>72</v>
      </c>
      <c r="N6" s="6" t="str">
        <f>IF(AND(C16="Salaire horaire",G11="oui"),"Calcul de l'indemnité les heures de garde","")</f>
        <v/>
      </c>
      <c r="W6" s="426"/>
      <c r="X6" s="2" t="s">
        <v>73</v>
      </c>
      <c r="Y6" s="2" t="s">
        <v>73</v>
      </c>
      <c r="Z6" s="2" t="str">
        <f>IF(OR(G13="simplifiée",G13="à choisir"),"simplifiée","")</f>
        <v>simplifiée</v>
      </c>
      <c r="AA6" s="59" t="str">
        <f>IF('Attestation du salaire (simpl.)'!H43&lt;Grundlagen!$B$9,"non","oui")</f>
        <v>non</v>
      </c>
      <c r="AB6" s="232" t="s">
        <v>73</v>
      </c>
      <c r="AC6" s="59" t="str">
        <f>IF(OR(F9="Parents",F9="Enfant", F9="Grands-parents", F9="Petit-fils/fille", F9="Conjoint-e", F9="Partenariat enrégistré", F9="Concubin-e"),"oui","non")</f>
        <v>non</v>
      </c>
      <c r="AD6" s="59" t="e">
        <f>IF(C16="Salaire horaire",IF(OR(M8&lt;21.6,M8&gt;21.6),"non",IF(M13="","oui",IF(OR(M13&lt;21.6,M13&gt;21.6),"non","oui"))),IF(C17="non",IF(AD9=3930,"oui","non"),IF(AD10=3630,"oui","non")))</f>
        <v>#DIV/0!</v>
      </c>
      <c r="AF6" s="5" t="s">
        <v>74</v>
      </c>
      <c r="AG6" s="49"/>
      <c r="AH6" s="2" t="s">
        <v>73</v>
      </c>
    </row>
    <row r="7" spans="1:35" s="2" customFormat="1" ht="13" x14ac:dyDescent="0.3">
      <c r="A7" s="2" t="s">
        <v>75</v>
      </c>
      <c r="C7" s="466"/>
      <c r="D7" s="466"/>
      <c r="E7" s="2" t="s">
        <v>76</v>
      </c>
      <c r="F7" s="461"/>
      <c r="G7" s="461"/>
      <c r="I7" s="2" t="str">
        <f>IF(C16="Salaire horaire",IF(G10="oui","Taux d'occupation I","Taux d'occupation"),IF(C16="Salaire mensuel","Taux d'occupation",""))</f>
        <v/>
      </c>
      <c r="L7" s="380"/>
      <c r="M7" s="443">
        <f>42*L7</f>
        <v>0</v>
      </c>
      <c r="N7" s="2" t="str">
        <f>IF(AND(C16="Salaire horaire",G11="oui"),"1 heure de garde =","")</f>
        <v/>
      </c>
      <c r="P7" s="308"/>
      <c r="Q7" s="2" t="str">
        <f>IF(AND(C16="Salaire horaire",G11="oui"),"du Sal.horaire","")</f>
        <v/>
      </c>
      <c r="S7" s="250" t="s">
        <v>77</v>
      </c>
      <c r="T7" s="251" t="s">
        <v>78</v>
      </c>
      <c r="U7" s="252"/>
      <c r="W7" s="1"/>
      <c r="X7" s="2" t="s">
        <v>79</v>
      </c>
      <c r="Y7" s="2" t="s">
        <v>80</v>
      </c>
      <c r="Z7" s="59" t="str">
        <f>IF(OR(G13="ordinaire",G13="à choisir"),"ordinaire","")</f>
        <v>ordinaire</v>
      </c>
      <c r="AA7" s="59"/>
      <c r="AB7" s="59" t="s">
        <v>81</v>
      </c>
      <c r="AD7" s="59" t="e">
        <f>IF(C16="Salaire horaire",IF(OR(M8&lt;21.6,M8&gt;56.5),"non",IF(M13="","oui",IF(OR(M13&lt;21.6,M13&gt;56.5),"non","oui"))),IF(C17="non",IF(AD9&lt;3930,"non","oui"),IF(AD10&lt;3630,"non","oui")))</f>
        <v>#DIV/0!</v>
      </c>
      <c r="AF7" s="5" t="s">
        <v>82</v>
      </c>
      <c r="AG7" s="49">
        <v>0</v>
      </c>
      <c r="AH7" s="2" t="s">
        <v>83</v>
      </c>
    </row>
    <row r="8" spans="1:35" s="2" customFormat="1" ht="12" customHeight="1" x14ac:dyDescent="0.3">
      <c r="A8" s="2" t="s">
        <v>84</v>
      </c>
      <c r="C8" s="466"/>
      <c r="D8" s="466"/>
      <c r="E8" s="2" t="s">
        <v>85</v>
      </c>
      <c r="F8" s="466"/>
      <c r="G8" s="466"/>
      <c r="I8" s="5" t="str">
        <f>IF(AND($C$16="Salaire horaire",OR(H10="à choisir",G10="non")),"Salaire horaire (avec suppl. vacances)",IF(AND($C$16="Salaire horaire",$G$10="oui"),"Salaire horaire I (avec suppl. vacances)",IF(C16="Salaire mensuel","Salaire mensuel","")))</f>
        <v/>
      </c>
      <c r="L8" s="4">
        <v>0</v>
      </c>
      <c r="M8" s="249"/>
      <c r="S8" s="253" t="s">
        <v>86</v>
      </c>
      <c r="T8" s="255">
        <f>IF(F7="",0,IF(DATEDIF($F$7,$A$21,"Y")&lt;18,0,Grundlagen!$B$5))</f>
        <v>0</v>
      </c>
      <c r="U8" s="254"/>
      <c r="W8" s="427"/>
      <c r="X8" s="2" t="s">
        <v>87</v>
      </c>
      <c r="Y8" s="59" t="s">
        <v>88</v>
      </c>
      <c r="Z8" s="59"/>
      <c r="AB8" s="59" t="s">
        <v>89</v>
      </c>
      <c r="AD8" s="2" t="e">
        <f>IF(C16="Salaire horaire",IF(OR(M8&lt;21.6,M8&gt;56.5,M13&lt;21.6,M13&gt;56.5),"non","oui"),IF(C17="non",IF(AD9&lt;10290.1,"non","oui"),IF(AD10&lt;9500.1,"non","oui")))</f>
        <v>#DIV/0!</v>
      </c>
      <c r="AF8" s="5"/>
      <c r="AG8" s="49"/>
      <c r="AH8" s="2" t="s">
        <v>90</v>
      </c>
    </row>
    <row r="9" spans="1:35" s="2" customFormat="1" ht="13" x14ac:dyDescent="0.3">
      <c r="A9" s="2" t="s">
        <v>91</v>
      </c>
      <c r="C9" s="466"/>
      <c r="D9" s="466"/>
      <c r="E9" s="2" t="s">
        <v>92</v>
      </c>
      <c r="F9" s="469" t="s">
        <v>73</v>
      </c>
      <c r="G9" s="469"/>
      <c r="I9" s="4" t="str">
        <f>IF($C$16="Salaire horaire","Suppl. vacances","")</f>
        <v/>
      </c>
      <c r="K9" s="4" t="str">
        <f>IF($C$16="Salaire horaire",(IF(L9=8.33%,"4 semaines","5 semaines")),"")</f>
        <v/>
      </c>
      <c r="L9" s="48" t="str">
        <f>IF($C$16="Salaire horaire",(IF(OR((DATEDIF($F$7,$C$21,"Y")&lt;20),(DATEDIF($F$7,$C$21,"Y")&gt;49)),10.64%,8.33%)),"")</f>
        <v/>
      </c>
      <c r="M9" s="247" t="str">
        <f>IF($C$16="Salaire horaire",M8/(1+L9)*L9,"")</f>
        <v/>
      </c>
      <c r="N9" s="6" t="str">
        <f>IF(C16="Salaire horaire","Conversion des engagements de nuit en heures","")</f>
        <v/>
      </c>
      <c r="S9" s="253" t="s">
        <v>93</v>
      </c>
      <c r="T9" s="255">
        <f>IF(F7="",0,IF(DATEDIF($F$7,$A$21,"Y")&lt;18,0,IF($C$67="oui",0,Grundlagen!$B$6)))</f>
        <v>0</v>
      </c>
      <c r="U9" s="256"/>
      <c r="W9" s="428"/>
      <c r="Y9" s="75">
        <f>IF(G13="à choisir",0,IF(AND(Z6="simplifiée",'PA 2'!Z6="simplifiée",'PA 3'!Z6="simplifiée",'PA 4'!Z6="simplifiée",'PA 5'!Z6="simplifiée",'PA 6'!Z6="simplifiée",'PA 7'!Z6="simplifiée",'PA 8'!Z6="simplifiée",'PA 9'!Z6="simplifiée"),IF(DATEDIF($F$7,D21,"Y")&lt;17,0%,5%),0%))</f>
        <v>0</v>
      </c>
      <c r="Z9" s="59"/>
      <c r="AB9" s="59" t="s">
        <v>94</v>
      </c>
      <c r="AD9" s="59" t="e">
        <f>ROUND(M8/L7,0)</f>
        <v>#DIV/0!</v>
      </c>
      <c r="AF9" s="5"/>
      <c r="AG9" s="49"/>
    </row>
    <row r="10" spans="1:35" s="2" customFormat="1" ht="13" x14ac:dyDescent="0.3">
      <c r="A10" s="2" t="s">
        <v>95</v>
      </c>
      <c r="C10" s="378" t="s">
        <v>73</v>
      </c>
      <c r="E10" s="2" t="str">
        <f>IF(C16="Salaire horaire","Avez-vous 2 différents sal. horaire?","")</f>
        <v/>
      </c>
      <c r="G10" s="391"/>
      <c r="H10" s="176" t="str">
        <f>IF(G10&gt;1,"",IF(C16="Salaire horaire","à choisir",""))</f>
        <v/>
      </c>
      <c r="I10" s="5" t="str">
        <f>IF(AND($C$16="Salaire horaire",OR(H10="à choisir",G10="non")),"Salaire horaire (sans Suppl. vacances)",IF(AND($C$16="Salaire horaire",$G$10="oui"),"Salaire horaire I (sans Suppl. vacances)",""))</f>
        <v/>
      </c>
      <c r="M10" s="248" t="str">
        <f>IF($C$16="Salaire horaire",M8-M9,"")</f>
        <v/>
      </c>
      <c r="N10" s="2" t="str">
        <f>IF(C16="Salaire horaire","1 nuit correspond à","")</f>
        <v/>
      </c>
      <c r="P10" s="268"/>
      <c r="Q10" s="2" t="str">
        <f>IF(C16="Salaire horaire","heures","")</f>
        <v/>
      </c>
      <c r="S10" s="253"/>
      <c r="T10" s="255"/>
      <c r="U10" s="256"/>
      <c r="W10" s="1"/>
      <c r="X10" s="6" t="s">
        <v>96</v>
      </c>
      <c r="Y10" s="6" t="s">
        <v>97</v>
      </c>
      <c r="Z10" s="64" t="s">
        <v>98</v>
      </c>
      <c r="AB10" s="59" t="s">
        <v>99</v>
      </c>
      <c r="AD10" s="59" t="e">
        <f>ROUND(M8/L7,0)</f>
        <v>#DIV/0!</v>
      </c>
    </row>
    <row r="11" spans="1:35" s="2" customFormat="1" ht="13.5" customHeight="1" x14ac:dyDescent="0.3">
      <c r="A11" s="2" t="s">
        <v>100</v>
      </c>
      <c r="C11" s="378"/>
      <c r="E11" s="2" t="s">
        <v>101</v>
      </c>
      <c r="G11" s="381" t="s">
        <v>73</v>
      </c>
      <c r="S11" s="253" t="s">
        <v>102</v>
      </c>
      <c r="T11" s="387"/>
      <c r="U11" s="257" t="s">
        <v>103</v>
      </c>
      <c r="W11" s="1"/>
      <c r="X11" s="2" t="s">
        <v>73</v>
      </c>
      <c r="Y11" s="2" t="str">
        <f>IF(C16="Salaire mensuel","oui","")</f>
        <v/>
      </c>
      <c r="Z11" s="188">
        <f>IF(G13="simplifiée",126.8%,0)</f>
        <v>0</v>
      </c>
      <c r="AB11" s="59" t="s">
        <v>104</v>
      </c>
      <c r="AD11" s="59"/>
    </row>
    <row r="12" spans="1:35" s="2" customFormat="1" ht="13.5" customHeight="1" x14ac:dyDescent="0.3">
      <c r="A12" s="2" t="s">
        <v>105</v>
      </c>
      <c r="C12" s="378"/>
      <c r="E12" s="2" t="s">
        <v>106</v>
      </c>
      <c r="G12" s="381" t="s">
        <v>73</v>
      </c>
      <c r="I12" s="2" t="str">
        <f>IF(G10="oui","Taux d'occupation II","")</f>
        <v/>
      </c>
      <c r="L12" s="224"/>
      <c r="M12" s="246">
        <f>42*L12</f>
        <v>0</v>
      </c>
      <c r="S12" s="253"/>
      <c r="T12" s="1"/>
      <c r="U12" s="254"/>
      <c r="W12" s="1"/>
      <c r="X12" s="2" t="s">
        <v>107</v>
      </c>
      <c r="Y12" s="2" t="str">
        <f>IF(C16="Salaire mensuel","non","")</f>
        <v/>
      </c>
      <c r="Z12" s="188">
        <f>IF(AND(G13="ordinaire",T15=0,T16=0),119.9%,0)</f>
        <v>0</v>
      </c>
      <c r="AA12" s="59"/>
      <c r="AB12" s="59" t="s">
        <v>108</v>
      </c>
      <c r="AC12" s="64" t="s">
        <v>109</v>
      </c>
      <c r="AD12" s="59"/>
    </row>
    <row r="13" spans="1:35" s="2" customFormat="1" ht="12.75" customHeight="1" x14ac:dyDescent="0.3">
      <c r="A13" s="2" t="s">
        <v>110</v>
      </c>
      <c r="C13" s="378"/>
      <c r="E13" s="2" t="s">
        <v>111</v>
      </c>
      <c r="G13" s="381" t="s">
        <v>73</v>
      </c>
      <c r="I13" s="5" t="str">
        <f>IF(G10="oui","Salaire horaire II (avec Suppl. vacances)","")</f>
        <v/>
      </c>
      <c r="L13" s="4"/>
      <c r="M13" s="249"/>
      <c r="S13" s="253" t="s">
        <v>112</v>
      </c>
      <c r="T13" s="388"/>
      <c r="U13" s="257" t="s">
        <v>103</v>
      </c>
      <c r="W13" s="425"/>
      <c r="X13" s="2" t="s">
        <v>113</v>
      </c>
      <c r="Y13" s="2">
        <f>IF(C17="oui",M8/12,0)</f>
        <v>0</v>
      </c>
      <c r="Z13" s="188">
        <f>IF(OR(T15&gt;0,T16&gt;0),129.2%,0)</f>
        <v>0</v>
      </c>
      <c r="AA13" s="59"/>
      <c r="AB13" s="59" t="s">
        <v>114</v>
      </c>
      <c r="AC13" s="59" t="s">
        <v>83</v>
      </c>
      <c r="AD13" s="59"/>
    </row>
    <row r="14" spans="1:35" s="2" customFormat="1" ht="12.75" customHeight="1" x14ac:dyDescent="0.3">
      <c r="A14" s="2" t="s">
        <v>115</v>
      </c>
      <c r="C14" s="379"/>
      <c r="E14" s="2" t="s">
        <v>116</v>
      </c>
      <c r="F14" s="466"/>
      <c r="G14" s="466"/>
      <c r="I14" s="4" t="str">
        <f>IF(G10="oui","Suppl. vacances","")</f>
        <v/>
      </c>
      <c r="K14" s="4" t="str">
        <f>IF($G$10="oui",(IF(L14=8.33%,"4 semaines","5 semaines")),"")</f>
        <v/>
      </c>
      <c r="L14" s="48" t="str">
        <f>IF(G10="oui",(IF(OR((DATEDIF($F$7,$C$21,"Y")&lt;20),(DATEDIF($F$7,$C$21,"Y")&gt;49)),10.64%,8.33%)),"")</f>
        <v/>
      </c>
      <c r="M14" s="247" t="str">
        <f>IF(G10="oui",M13/(1+L14)*L14,"")</f>
        <v/>
      </c>
      <c r="S14" s="258"/>
      <c r="T14" s="1"/>
      <c r="U14" s="254"/>
      <c r="W14" s="425"/>
      <c r="Y14" s="157">
        <f>M8</f>
        <v>0</v>
      </c>
      <c r="Z14" s="188">
        <f>SUM(Z11:Z13)</f>
        <v>0</v>
      </c>
      <c r="AA14" s="59"/>
      <c r="AB14" s="58" t="s">
        <v>117</v>
      </c>
      <c r="AC14" s="59" t="s">
        <v>90</v>
      </c>
      <c r="AD14" s="59"/>
    </row>
    <row r="15" spans="1:35" s="2" customFormat="1" ht="12.75" customHeight="1" x14ac:dyDescent="0.3">
      <c r="A15" s="2" t="s">
        <v>118</v>
      </c>
      <c r="C15" s="379"/>
      <c r="E15" s="2" t="s">
        <v>119</v>
      </c>
      <c r="F15" s="466"/>
      <c r="G15" s="466"/>
      <c r="I15" s="5" t="str">
        <f>IF(G10="oui","Salaire horaire II (sans Suppl. vacances)","")</f>
        <v/>
      </c>
      <c r="M15" s="248" t="str">
        <f>IF(G10="oui",M13-M14,"")</f>
        <v/>
      </c>
      <c r="S15" s="253" t="s">
        <v>120</v>
      </c>
      <c r="T15" s="389"/>
      <c r="U15" s="259" t="s">
        <v>121</v>
      </c>
      <c r="W15" s="1"/>
      <c r="Y15" s="2">
        <f>SUM(Y13:Y14)</f>
        <v>0</v>
      </c>
      <c r="Z15" s="59"/>
      <c r="AA15" s="59"/>
      <c r="AB15" s="59" t="s">
        <v>122</v>
      </c>
      <c r="AD15" s="59"/>
    </row>
    <row r="16" spans="1:35" s="2" customFormat="1" ht="12.75" customHeight="1" thickBot="1" x14ac:dyDescent="0.35">
      <c r="A16" s="2" t="s">
        <v>123</v>
      </c>
      <c r="C16" s="378" t="s">
        <v>73</v>
      </c>
      <c r="E16" s="2" t="s">
        <v>124</v>
      </c>
      <c r="F16" s="466"/>
      <c r="G16" s="466"/>
      <c r="S16" s="260" t="s">
        <v>125</v>
      </c>
      <c r="T16" s="390"/>
      <c r="U16" s="261" t="s">
        <v>126</v>
      </c>
      <c r="W16" s="1"/>
      <c r="Z16" s="59"/>
      <c r="AA16" s="59"/>
      <c r="AB16" s="58" t="s">
        <v>127</v>
      </c>
      <c r="AC16" s="59"/>
      <c r="AD16" s="59"/>
    </row>
    <row r="17" spans="1:37" s="2" customFormat="1" ht="12.75" customHeight="1" thickBot="1" x14ac:dyDescent="0.35">
      <c r="A17" s="2" t="str">
        <f>IF(C16="Salaire mensuel","13ème salaire","")</f>
        <v/>
      </c>
      <c r="C17" s="329"/>
      <c r="D17" s="176" t="str">
        <f>IF(C17&gt;1,"",IF(A17="13ème salaire","à choisir",""))</f>
        <v/>
      </c>
      <c r="E17" s="422" t="s">
        <v>128</v>
      </c>
      <c r="F17" s="423" t="str">
        <f>IF($F$7="","",IF($C$10="masculin",DATE(YEAR($F$7)+65,MONTH($F$7)+1,1),IF($C$10="féminin",DATE(YEAR($F$7)+64,MONTH($F$7)+1+VLOOKUP(YEAR($F$7),Grundlagen!$F$1:$G$26,2,TRUE),1),"")))</f>
        <v/>
      </c>
      <c r="H17" s="175"/>
      <c r="W17" s="1"/>
      <c r="X17" s="59"/>
      <c r="Y17" s="59"/>
      <c r="Z17" s="59"/>
      <c r="AA17" s="59"/>
      <c r="AB17" s="59" t="s">
        <v>129</v>
      </c>
      <c r="AC17" s="59"/>
      <c r="AD17" s="59"/>
    </row>
    <row r="18" spans="1:37" s="2" customFormat="1" ht="12" customHeight="1" x14ac:dyDescent="0.3">
      <c r="H18" s="175"/>
      <c r="M18" s="175"/>
      <c r="S18" s="484" t="s">
        <v>130</v>
      </c>
      <c r="T18" s="485"/>
      <c r="U18" s="486"/>
      <c r="V18" s="340"/>
      <c r="X18" s="158"/>
      <c r="Y18" s="159"/>
      <c r="Z18" s="59"/>
      <c r="AA18" s="59"/>
      <c r="AB18" s="59" t="s">
        <v>131</v>
      </c>
      <c r="AC18" s="59"/>
      <c r="AD18" s="59"/>
      <c r="AE18" s="59"/>
    </row>
    <row r="19" spans="1:37" s="2" customFormat="1" ht="14" x14ac:dyDescent="0.3">
      <c r="A19" s="41" t="s">
        <v>132</v>
      </c>
      <c r="B19" s="41"/>
      <c r="C19" s="52"/>
      <c r="D19" s="52"/>
      <c r="E19" s="52"/>
      <c r="F19" s="52"/>
      <c r="G19" s="52"/>
      <c r="H19" s="52"/>
      <c r="I19" s="41" t="str">
        <f>$A$19</f>
        <v>Décompte de salaire</v>
      </c>
      <c r="J19" s="41"/>
      <c r="K19" s="52"/>
      <c r="L19" s="52"/>
      <c r="M19" s="52"/>
      <c r="N19" s="52"/>
      <c r="O19" s="52"/>
      <c r="P19" s="52"/>
      <c r="Q19" s="52"/>
      <c r="S19" s="262"/>
      <c r="U19" s="263"/>
      <c r="X19" s="158"/>
      <c r="Y19" s="159"/>
      <c r="Z19" s="59"/>
      <c r="AA19" s="59"/>
      <c r="AB19" s="59" t="s">
        <v>133</v>
      </c>
      <c r="AC19" s="59"/>
      <c r="AD19" s="59"/>
      <c r="AE19" s="59"/>
    </row>
    <row r="20" spans="1:37" s="2" customFormat="1" ht="5.15" customHeight="1" thickBot="1" x14ac:dyDescent="0.3">
      <c r="C20" s="80"/>
      <c r="D20" s="81"/>
      <c r="E20" s="5"/>
      <c r="F20" s="5"/>
      <c r="G20" s="5"/>
      <c r="H20" s="49"/>
      <c r="I20" s="49"/>
      <c r="K20" s="49"/>
      <c r="S20" s="481">
        <f>IF(F7="",0,IF(OR(G13="ordinaire",G13="à choisir"),0,(IF(G13="simplifiée",IF(OR($F$9="Conjoint-e",$F$9="Enfant",$F$9="Partenariat enrégistré"),"Ni la conjointe ou le conjoint de l’employeur ni ses enfants ne peuvent utiliser la procédure de décompte AVS simplifiée.",IF(OR(Q38+Q39&gt;Grundlagen!$B$8-0.01,U2&gt;Grundlagen!$B$8-0.01),"La procédure de décompte simplifiée ne peut pas être appliquée si le salaire annuel est supérieur à CHF"&amp;Grundlagen!$B$8&amp;"!",IF(AA6="oui","La procédure de décompte simplifiée ne peut pas être appliquée si la masse salariale totale est supérieure à CHF "&amp;Grundlagen!$B$9&amp;"!",IF(DATEDIF($F$7,$A$21,"Y")&lt;19,0,IF(G13="ordinaire",0,0)))))))))</f>
        <v>0</v>
      </c>
      <c r="T20" s="482"/>
      <c r="U20" s="483"/>
      <c r="V20" s="370"/>
      <c r="X20" s="158"/>
      <c r="Y20" s="159"/>
      <c r="Z20" s="59"/>
      <c r="AA20" s="59"/>
      <c r="AB20" s="59"/>
      <c r="AD20" s="59"/>
      <c r="AE20" s="59"/>
    </row>
    <row r="21" spans="1:37" s="2" customFormat="1" ht="15" customHeight="1" x14ac:dyDescent="0.25">
      <c r="A21" s="310">
        <f>Grundlagen!$C$1</f>
        <v>46387</v>
      </c>
      <c r="B21" s="269"/>
      <c r="C21" s="82">
        <f>Grundlagen!$B$1</f>
        <v>46023</v>
      </c>
      <c r="D21" s="82">
        <f>DATE(YEAR(C21),MONTH(C21)+1,1)</f>
        <v>46054</v>
      </c>
      <c r="E21" s="82">
        <f t="shared" ref="E21:H21" si="0">DATE(YEAR(D21),MONTH(D21)+1,1)</f>
        <v>46082</v>
      </c>
      <c r="F21" s="82">
        <f t="shared" si="0"/>
        <v>46113</v>
      </c>
      <c r="G21" s="82">
        <f t="shared" si="0"/>
        <v>46143</v>
      </c>
      <c r="H21" s="69">
        <f t="shared" si="0"/>
        <v>46174</v>
      </c>
      <c r="I21" s="310">
        <f t="shared" ref="I21:I22" si="1">A21</f>
        <v>46387</v>
      </c>
      <c r="J21" s="269"/>
      <c r="K21" s="82">
        <f>DATE(YEAR(H21),MONTH(H21)+1,1)</f>
        <v>46204</v>
      </c>
      <c r="L21" s="82">
        <f>DATE(YEAR(K21),MONTH(K21)+1,1)</f>
        <v>46235</v>
      </c>
      <c r="M21" s="82">
        <f t="shared" ref="M21:P21" si="2">DATE(YEAR(L21),MONTH(L21)+1,1)</f>
        <v>46266</v>
      </c>
      <c r="N21" s="82">
        <f t="shared" si="2"/>
        <v>46296</v>
      </c>
      <c r="O21" s="82">
        <f t="shared" si="2"/>
        <v>46327</v>
      </c>
      <c r="P21" s="69">
        <f t="shared" si="2"/>
        <v>46357</v>
      </c>
      <c r="Q21" s="97" t="s">
        <v>134</v>
      </c>
      <c r="S21" s="481"/>
      <c r="T21" s="482"/>
      <c r="U21" s="483"/>
      <c r="V21" s="370"/>
      <c r="W21" s="2">
        <f>IF(S20=0,0,5)</f>
        <v>0</v>
      </c>
      <c r="X21" s="158"/>
      <c r="Y21" s="159"/>
      <c r="Z21" s="59"/>
      <c r="AA21" s="59"/>
      <c r="AB21" s="59"/>
      <c r="AC21" s="59"/>
      <c r="AD21" s="59"/>
      <c r="AE21" s="59"/>
    </row>
    <row r="22" spans="1:37" s="2" customFormat="1" ht="15" customHeight="1" x14ac:dyDescent="0.25">
      <c r="A22" s="311" t="str">
        <f>IF($C$16="Salaire horaire","",IF(C16="à choisir","","Salaire mensuel"))</f>
        <v/>
      </c>
      <c r="B22" s="270" t="str">
        <f>IF(A22="Salaire mensuel","CHF"," ")</f>
        <v xml:space="preserve"> </v>
      </c>
      <c r="C22" s="286">
        <f t="shared" ref="C22:H22" si="3">IF(OR($C$16="Salaire horaire",$C$16="à choisir"),0,IF($C$16="Salaire mensuel",(IF(OR(MONTH(IF($C$14&lt;$C$21,$C$21,$C$14))&gt;MONTH(C21),MONTH(IF($C$15="",$A$21,$C$15))&lt;MONTH(C21)),0,$M$8))))</f>
        <v>0</v>
      </c>
      <c r="D22" s="286">
        <f t="shared" si="3"/>
        <v>0</v>
      </c>
      <c r="E22" s="286">
        <f t="shared" si="3"/>
        <v>0</v>
      </c>
      <c r="F22" s="286">
        <f t="shared" si="3"/>
        <v>0</v>
      </c>
      <c r="G22" s="286">
        <f t="shared" si="3"/>
        <v>0</v>
      </c>
      <c r="H22" s="287">
        <f t="shared" si="3"/>
        <v>0</v>
      </c>
      <c r="I22" s="312" t="str">
        <f t="shared" si="1"/>
        <v/>
      </c>
      <c r="J22" s="270" t="str">
        <f>IF(I22="Salaire mensuel","CHF"," ")</f>
        <v xml:space="preserve"> </v>
      </c>
      <c r="K22" s="286">
        <f t="shared" ref="K22:P22" si="4">IF(OR($C$16="Salaire horaire",$C$16="à choisir"),0,IF($C$16="Salaire mensuel",(IF(OR(MONTH(IF($C$14&lt;$C$21,$C$21,$C$14))&gt;MONTH(K21),MONTH(IF($C$15="",$A$21,$C$15))&lt;MONTH(K21)),0,$M$8))))</f>
        <v>0</v>
      </c>
      <c r="L22" s="286">
        <f t="shared" si="4"/>
        <v>0</v>
      </c>
      <c r="M22" s="286">
        <f t="shared" si="4"/>
        <v>0</v>
      </c>
      <c r="N22" s="286">
        <f t="shared" si="4"/>
        <v>0</v>
      </c>
      <c r="O22" s="286">
        <f t="shared" si="4"/>
        <v>0</v>
      </c>
      <c r="P22" s="287">
        <f t="shared" si="4"/>
        <v>0</v>
      </c>
      <c r="Q22" s="302">
        <f t="shared" ref="Q22" si="5">ROUND((SUM(C22:H22)+SUM(K22:P22))*20,0)/20</f>
        <v>0</v>
      </c>
      <c r="S22" s="481"/>
      <c r="T22" s="482"/>
      <c r="U22" s="483"/>
      <c r="V22" s="370"/>
      <c r="X22" s="158"/>
      <c r="Y22" s="159"/>
      <c r="Z22" s="59"/>
      <c r="AA22" s="59"/>
      <c r="AB22" s="59"/>
      <c r="AC22" s="59"/>
      <c r="AD22" s="59"/>
      <c r="AE22" s="59"/>
    </row>
    <row r="23" spans="1:37" s="2" customFormat="1" ht="15" customHeight="1" x14ac:dyDescent="0.25">
      <c r="A23" s="311" t="str">
        <f>IF($C$16="Salaire horaire","",(IF($C$17="oui","13. Salaire mensuel","")))</f>
        <v/>
      </c>
      <c r="B23" s="270" t="str">
        <f>IF(A23="13. Salaire mensuel","CHF"," ")</f>
        <v xml:space="preserve"> </v>
      </c>
      <c r="C23" s="286">
        <f t="shared" ref="C23:H23" si="6">IF(OR($C$16="Salaire horaire",$C$16="à choisir"),0,(IF($C$17="oui",(C$22+C32+C33)/12,"")))</f>
        <v>0</v>
      </c>
      <c r="D23" s="288">
        <f t="shared" si="6"/>
        <v>0</v>
      </c>
      <c r="E23" s="288">
        <f t="shared" si="6"/>
        <v>0</v>
      </c>
      <c r="F23" s="288">
        <f t="shared" si="6"/>
        <v>0</v>
      </c>
      <c r="G23" s="288">
        <f t="shared" si="6"/>
        <v>0</v>
      </c>
      <c r="H23" s="287">
        <f t="shared" si="6"/>
        <v>0</v>
      </c>
      <c r="I23" s="312" t="str">
        <f t="shared" ref="I23:I52" si="7">A23</f>
        <v/>
      </c>
      <c r="J23" s="270" t="str">
        <f>IF(I23="13. Salaire mensuel","CHF"," ")</f>
        <v xml:space="preserve"> </v>
      </c>
      <c r="K23" s="288">
        <f t="shared" ref="K23:P23" si="8">IF(OR($C$16="Salaire horaire",$C$16="à choisir"),0,(IF($C$17="oui",(K$22+K32+K33)/12,"")))</f>
        <v>0</v>
      </c>
      <c r="L23" s="288">
        <f t="shared" si="8"/>
        <v>0</v>
      </c>
      <c r="M23" s="288">
        <f t="shared" si="8"/>
        <v>0</v>
      </c>
      <c r="N23" s="303">
        <f t="shared" si="8"/>
        <v>0</v>
      </c>
      <c r="O23" s="288">
        <f t="shared" si="8"/>
        <v>0</v>
      </c>
      <c r="P23" s="287">
        <f t="shared" si="8"/>
        <v>0</v>
      </c>
      <c r="Q23" s="240">
        <f t="shared" ref="Q23:Q37" si="9">ROUND((SUM(C23:H23)+SUM(K23:P23))*20,0)/20</f>
        <v>0</v>
      </c>
      <c r="S23" s="262"/>
      <c r="U23" s="263"/>
      <c r="Y23" s="58"/>
      <c r="Z23" s="58"/>
      <c r="AA23" s="58"/>
      <c r="AB23" s="58"/>
      <c r="AC23" s="58"/>
      <c r="AD23" s="58"/>
      <c r="AE23" s="58"/>
      <c r="AF23" s="58"/>
    </row>
    <row r="24" spans="1:37" s="2" customFormat="1" ht="15" customHeight="1" x14ac:dyDescent="0.25">
      <c r="A24" s="444" t="str">
        <f>IF(G11="oui","Nombre d'heures 
de garde","")</f>
        <v/>
      </c>
      <c r="B24" s="447" t="str">
        <f>IF(A24="Nombre d'heures 
de garde","h"," ")</f>
        <v xml:space="preserve"> </v>
      </c>
      <c r="C24" s="288"/>
      <c r="D24" s="288"/>
      <c r="E24" s="288"/>
      <c r="F24" s="288"/>
      <c r="G24" s="288"/>
      <c r="H24" s="287"/>
      <c r="I24" s="311" t="str">
        <f t="shared" si="7"/>
        <v/>
      </c>
      <c r="J24" s="330" t="str">
        <f>B24</f>
        <v xml:space="preserve"> </v>
      </c>
      <c r="K24" s="288"/>
      <c r="L24" s="288"/>
      <c r="M24" s="288"/>
      <c r="N24" s="288"/>
      <c r="O24" s="288"/>
      <c r="P24" s="287"/>
      <c r="Q24" s="304">
        <f t="shared" si="9"/>
        <v>0</v>
      </c>
      <c r="S24" s="481">
        <f>IF(OR(AND(Z6="simplifiée",'PA 2'!Z6="simplifiée",'PA 3'!Z6="simplifiée",'PA 4'!Z6="simplifiée",'PA 5'!Z6="simplifiée",'PA 6'!Z6="simplifiée",'PA 7'!Z6="simplifiée",'PA 8'!Z6="simplifiée",'PA 9'!Z6="simplifiée"),(AND(Z7="ordinaire",'PA 2'!Z7="ordinaire",'PA 3'!Z7="ordinaire",'PA 4'!Z7="ordinaire",'PA 5'!Z7="ordinaire",'PA 6'!Z7="ordinaire",'PA 7'!Z7="ordinaire",'PA 8'!Z7="ordinaire",'PA 9'!Z7="ordinaire"))),0,"ATTENTION: la même procédure de décompte AVS doit être utilisée pour tous les prestataires d’assistance!")</f>
        <v>0</v>
      </c>
      <c r="T24" s="482"/>
      <c r="U24" s="483"/>
      <c r="V24" s="370"/>
      <c r="Y24" s="58"/>
      <c r="Z24" s="58"/>
      <c r="AA24" s="58"/>
      <c r="AB24" s="58"/>
      <c r="AC24" s="58"/>
      <c r="AD24" s="58"/>
      <c r="AE24" s="58"/>
      <c r="AF24" s="58"/>
    </row>
    <row r="25" spans="1:37" s="6" customFormat="1" ht="13" x14ac:dyDescent="0.3">
      <c r="A25" s="450" t="str">
        <f>IF(AND(C16="Salaire mensuel",G12="oui"),"Nombre d'engagements de nuit",IF(P10&gt;0.1,"Nombre d'engagements de nuit",""))</f>
        <v/>
      </c>
      <c r="B25" s="270" t="str">
        <f>IF(A25="Nombre d'engagements de nuit","Nb."," ")</f>
        <v xml:space="preserve"> </v>
      </c>
      <c r="C25" s="289"/>
      <c r="D25" s="289"/>
      <c r="E25" s="289"/>
      <c r="F25" s="289"/>
      <c r="G25" s="289"/>
      <c r="H25" s="290"/>
      <c r="I25" s="450" t="str">
        <f t="shared" si="7"/>
        <v/>
      </c>
      <c r="J25" s="270" t="str">
        <f>B25</f>
        <v xml:space="preserve"> </v>
      </c>
      <c r="K25" s="289"/>
      <c r="L25" s="289"/>
      <c r="M25" s="289"/>
      <c r="N25" s="289"/>
      <c r="O25" s="289"/>
      <c r="P25" s="305"/>
      <c r="Q25" s="302">
        <f t="shared" si="9"/>
        <v>0</v>
      </c>
      <c r="R25" s="76"/>
      <c r="S25" s="481"/>
      <c r="T25" s="482"/>
      <c r="U25" s="483"/>
      <c r="V25" s="370"/>
      <c r="W25" s="2">
        <f>IF(S24&gt;1,5,0)</f>
        <v>0</v>
      </c>
      <c r="X25" s="102"/>
      <c r="Y25" s="99"/>
      <c r="Z25" s="100"/>
      <c r="AA25" s="77"/>
      <c r="AB25" s="77"/>
      <c r="AC25" s="77"/>
      <c r="AD25" s="77"/>
      <c r="AE25" s="77"/>
      <c r="AF25" s="77"/>
    </row>
    <row r="26" spans="1:37" s="6" customFormat="1" ht="15" customHeight="1" x14ac:dyDescent="0.3">
      <c r="A26" s="312" t="str">
        <f>IF(AND($C$16="Salaire mensuel",$G$12="oui"),"Nombre d'heures",IF(C16="Salaire horaire",IF(G10="oui","Nombre d'heures I","Nombre d'heures"),""))</f>
        <v/>
      </c>
      <c r="B26" s="271" t="str">
        <f>IF(OR(A26="Nombre d'heures Standard",A26="Nombre d'heures",A26="Nombre d'heures I"),"h"," ")</f>
        <v xml:space="preserve"> </v>
      </c>
      <c r="C26" s="288"/>
      <c r="D26" s="288"/>
      <c r="E26" s="288"/>
      <c r="F26" s="288"/>
      <c r="G26" s="288"/>
      <c r="H26" s="287"/>
      <c r="I26" s="312" t="str">
        <f t="shared" si="7"/>
        <v/>
      </c>
      <c r="J26" s="271" t="str">
        <f>IF(OR(I26="Nombre d'heures Standard",I26="Nombre d'heures",I26="Nombre d'heures I"),"h"," ")</f>
        <v xml:space="preserve"> </v>
      </c>
      <c r="K26" s="288"/>
      <c r="L26" s="288"/>
      <c r="M26" s="288"/>
      <c r="N26" s="288"/>
      <c r="O26" s="288"/>
      <c r="P26" s="287"/>
      <c r="Q26" s="304">
        <f t="shared" si="9"/>
        <v>0</v>
      </c>
      <c r="R26" s="76"/>
      <c r="S26" s="481"/>
      <c r="T26" s="482"/>
      <c r="U26" s="483"/>
      <c r="V26" s="370"/>
      <c r="W26" s="76"/>
      <c r="X26" s="102"/>
      <c r="Y26" s="99"/>
      <c r="Z26" s="59"/>
      <c r="AA26" s="77"/>
      <c r="AB26" s="77"/>
      <c r="AC26" s="77"/>
      <c r="AD26" s="77"/>
      <c r="AE26" s="77"/>
      <c r="AF26" s="77"/>
    </row>
    <row r="27" spans="1:37" s="6" customFormat="1" ht="15" customHeight="1" x14ac:dyDescent="0.3">
      <c r="A27" s="312" t="str">
        <f>IF($C$16="Salaire horaire",IF(G10="oui","Salaire horaire I","Salaire horaire"),"")</f>
        <v/>
      </c>
      <c r="B27" s="270" t="str">
        <f>IF(OR(A27="Salaire horaire Standard",A27="Salaire horaire",A27="Salaire horaire I"),"CHF"," ")</f>
        <v xml:space="preserve"> </v>
      </c>
      <c r="C27" s="237" t="str">
        <f t="shared" ref="C27:H27" si="10">IF($C$16="Salaire horaire",(IF(OR((DATEDIF($F$7,C21,"Y")&lt;20),(DATEDIF($F$7,C21,"Y")&gt;49)),$M$8/110.64%*(C26+C24*$P$7+C25*$P$10),$M$8/108.33%*(C26+C24*$P$7+C25*$P$10))),"")</f>
        <v/>
      </c>
      <c r="D27" s="237" t="str">
        <f t="shared" si="10"/>
        <v/>
      </c>
      <c r="E27" s="237" t="str">
        <f t="shared" si="10"/>
        <v/>
      </c>
      <c r="F27" s="237" t="str">
        <f t="shared" si="10"/>
        <v/>
      </c>
      <c r="G27" s="237" t="str">
        <f t="shared" si="10"/>
        <v/>
      </c>
      <c r="H27" s="238" t="str">
        <f t="shared" si="10"/>
        <v/>
      </c>
      <c r="I27" s="312" t="str">
        <f t="shared" si="7"/>
        <v/>
      </c>
      <c r="J27" s="270" t="str">
        <f>IF(OR(I27="Salaire horaire Standard",I27="Salaire horaire",I27="Salaire horaire I"),"CHF"," ")</f>
        <v xml:space="preserve"> </v>
      </c>
      <c r="K27" s="237" t="str">
        <f t="shared" ref="K27:P27" si="11">IF($C$16="Salaire horaire",(IF(OR((DATEDIF($F$7,K21,"Y")&lt;20),(DATEDIF($F$7,K21,"Y")&gt;49)),$M$8/110.64%*(K26+K24*$P$7+K25*$P$10),$M$8/108.33%*(K26+K24*$P$7+K25*$P$10))),"")</f>
        <v/>
      </c>
      <c r="L27" s="237" t="str">
        <f t="shared" si="11"/>
        <v/>
      </c>
      <c r="M27" s="237" t="str">
        <f t="shared" si="11"/>
        <v/>
      </c>
      <c r="N27" s="237" t="str">
        <f t="shared" si="11"/>
        <v/>
      </c>
      <c r="O27" s="237" t="str">
        <f t="shared" si="11"/>
        <v/>
      </c>
      <c r="P27" s="238" t="str">
        <f t="shared" si="11"/>
        <v/>
      </c>
      <c r="Q27" s="304">
        <f t="shared" si="9"/>
        <v>0</v>
      </c>
      <c r="R27" s="76"/>
      <c r="S27" s="262"/>
      <c r="T27" s="2"/>
      <c r="U27" s="263"/>
      <c r="V27" s="2"/>
      <c r="W27" s="76"/>
      <c r="X27" s="102"/>
      <c r="Y27" s="99"/>
      <c r="Z27" s="59"/>
      <c r="AA27" s="77"/>
      <c r="AB27" s="77"/>
      <c r="AC27" s="77"/>
      <c r="AD27" s="77"/>
      <c r="AE27" s="77"/>
      <c r="AF27" s="77"/>
    </row>
    <row r="28" spans="1:37" s="2" customFormat="1" ht="15" customHeight="1" x14ac:dyDescent="0.25">
      <c r="A28" s="312" t="str">
        <f>IF(G10="oui","Nombre d'heures II","")</f>
        <v/>
      </c>
      <c r="B28" s="271" t="str">
        <f>IF(OR(A28="Nombre d'heures Quali B",A28="Nombre d'heures II"),"h"," ")</f>
        <v xml:space="preserve"> </v>
      </c>
      <c r="C28" s="288"/>
      <c r="D28" s="288"/>
      <c r="E28" s="288"/>
      <c r="F28" s="288"/>
      <c r="G28" s="288"/>
      <c r="H28" s="287"/>
      <c r="I28" s="312" t="str">
        <f t="shared" si="7"/>
        <v/>
      </c>
      <c r="J28" s="271" t="str">
        <f>IF(OR(I28="Nombre d'heures Quali B",I28="Nombre d'heures II"),"h"," ")</f>
        <v xml:space="preserve"> </v>
      </c>
      <c r="K28" s="288"/>
      <c r="L28" s="288"/>
      <c r="M28" s="288"/>
      <c r="N28" s="303"/>
      <c r="O28" s="288"/>
      <c r="P28" s="287"/>
      <c r="Q28" s="304">
        <f t="shared" si="9"/>
        <v>0</v>
      </c>
      <c r="R28" s="78"/>
      <c r="S28" s="481">
        <f>IF(AND(AC6="oui",(G12="oui")),"ATTENTION: le salaire des proches ne doit pas ètre réglé avec la contribution d'assistance d l'AI",0)</f>
        <v>0</v>
      </c>
      <c r="T28" s="482"/>
      <c r="U28" s="483"/>
      <c r="V28" s="370"/>
      <c r="W28" s="78"/>
      <c r="X28" s="101"/>
      <c r="Y28" s="98"/>
    </row>
    <row r="29" spans="1:37" s="6" customFormat="1" ht="15" customHeight="1" x14ac:dyDescent="0.25">
      <c r="A29" s="312" t="str">
        <f>IF(G10="oui","Salaire horaire II","")</f>
        <v/>
      </c>
      <c r="B29" s="270" t="str">
        <f>IF(OR(A29="Salaire horaire Quali B",A29="Salaire horaire II"),"CHF"," ")</f>
        <v xml:space="preserve"> </v>
      </c>
      <c r="C29" s="237" t="str">
        <f t="shared" ref="C29:H29" si="12">IF($C$16="Salaire horaire",(IF(OR((DATEDIF($F$7,C21,"Y")&lt;20),(DATEDIF($F$7,C21,"Y")&gt;49)),$M$13/110.64%*(C28),$M$13/108.33%*(C28))),"")</f>
        <v/>
      </c>
      <c r="D29" s="237" t="str">
        <f t="shared" si="12"/>
        <v/>
      </c>
      <c r="E29" s="237" t="str">
        <f t="shared" si="12"/>
        <v/>
      </c>
      <c r="F29" s="237" t="str">
        <f t="shared" si="12"/>
        <v/>
      </c>
      <c r="G29" s="237" t="str">
        <f t="shared" si="12"/>
        <v/>
      </c>
      <c r="H29" s="238" t="str">
        <f t="shared" si="12"/>
        <v/>
      </c>
      <c r="I29" s="312" t="str">
        <f t="shared" si="7"/>
        <v/>
      </c>
      <c r="J29" s="270" t="str">
        <f>IF(OR(I29="Salaire horaire Quali B",I29="Salaire horaire II"),"CHF"," ")</f>
        <v xml:space="preserve"> </v>
      </c>
      <c r="K29" s="237" t="str">
        <f t="shared" ref="K29:P29" si="13">IF($C$16="Salaire horaire",(IF(OR((DATEDIF($F$7,K21,"Y")&lt;20),(DATEDIF($F$7,K21,"Y")&gt;49)),$M$13/110.64%*(K28),$M$13/108.33%*(K28))),"")</f>
        <v/>
      </c>
      <c r="L29" s="237" t="str">
        <f t="shared" si="13"/>
        <v/>
      </c>
      <c r="M29" s="237" t="str">
        <f t="shared" si="13"/>
        <v/>
      </c>
      <c r="N29" s="237" t="str">
        <f t="shared" si="13"/>
        <v/>
      </c>
      <c r="O29" s="237" t="str">
        <f t="shared" si="13"/>
        <v/>
      </c>
      <c r="P29" s="238" t="str">
        <f t="shared" si="13"/>
        <v/>
      </c>
      <c r="Q29" s="304">
        <f t="shared" si="9"/>
        <v>0</v>
      </c>
      <c r="R29" s="65"/>
      <c r="S29" s="481"/>
      <c r="T29" s="482"/>
      <c r="U29" s="483"/>
      <c r="V29" s="370"/>
      <c r="W29" s="2">
        <f>IF(S28&gt;1,5,0)</f>
        <v>0</v>
      </c>
      <c r="X29" s="103"/>
      <c r="Y29" s="98"/>
      <c r="Z29" s="59"/>
      <c r="AA29" s="59"/>
      <c r="AB29" s="59"/>
      <c r="AC29" s="59"/>
      <c r="AD29" s="59"/>
      <c r="AE29" s="59"/>
      <c r="AF29" s="59"/>
    </row>
    <row r="30" spans="1:37" s="6" customFormat="1" ht="15" customHeight="1" x14ac:dyDescent="0.25">
      <c r="A30" s="312" t="str">
        <f>IF($C$16="Salaire horaire","Supplément de vacances","")</f>
        <v/>
      </c>
      <c r="B30" s="270" t="str">
        <f>IF(A30="Supplément de vacances","CHF"," ")</f>
        <v xml:space="preserve"> </v>
      </c>
      <c r="C30" s="237">
        <f t="shared" ref="C30:H30" si="14">IF($C$16="Salaire horaire",(ROUND(IF(OR((DATEDIF($F$7,C$21,"Y")&lt;20),(DATEDIF($F$7,C$21,"Y")&gt;49)),(C$27+C$29)*10.64%,(C$27+C$29)*8.33%),2)),)</f>
        <v>0</v>
      </c>
      <c r="D30" s="237">
        <f t="shared" si="14"/>
        <v>0</v>
      </c>
      <c r="E30" s="237">
        <f t="shared" si="14"/>
        <v>0</v>
      </c>
      <c r="F30" s="237">
        <f t="shared" si="14"/>
        <v>0</v>
      </c>
      <c r="G30" s="237">
        <f t="shared" si="14"/>
        <v>0</v>
      </c>
      <c r="H30" s="238">
        <f t="shared" si="14"/>
        <v>0</v>
      </c>
      <c r="I30" s="312" t="str">
        <f t="shared" si="7"/>
        <v/>
      </c>
      <c r="J30" s="270" t="str">
        <f>IF(I30="Ferienzuschlag","CHF"," ")</f>
        <v xml:space="preserve"> </v>
      </c>
      <c r="K30" s="237">
        <f t="shared" ref="K30:P30" si="15">IF($C$16="Salaire horaire",(ROUND(IF(OR((DATEDIF($F$7,K$21,"Y")&lt;20),(DATEDIF($F$7,K$21,"Y")&gt;49)),(K$27+K$29)*10.64%,(K$27+K$29)*8.33%),2)),)</f>
        <v>0</v>
      </c>
      <c r="L30" s="237">
        <f t="shared" si="15"/>
        <v>0</v>
      </c>
      <c r="M30" s="237">
        <f t="shared" si="15"/>
        <v>0</v>
      </c>
      <c r="N30" s="237">
        <f t="shared" si="15"/>
        <v>0</v>
      </c>
      <c r="O30" s="237">
        <f t="shared" si="15"/>
        <v>0</v>
      </c>
      <c r="P30" s="238">
        <f t="shared" si="15"/>
        <v>0</v>
      </c>
      <c r="Q30" s="304">
        <f t="shared" si="9"/>
        <v>0</v>
      </c>
      <c r="R30" s="65"/>
      <c r="S30" s="481"/>
      <c r="T30" s="482"/>
      <c r="U30" s="483"/>
      <c r="V30" s="370"/>
      <c r="W30" s="65"/>
      <c r="X30" s="103"/>
      <c r="Y30" s="98"/>
      <c r="Z30" s="59"/>
      <c r="AA30" s="59"/>
      <c r="AB30" s="59"/>
      <c r="AC30" s="59"/>
      <c r="AD30" s="59"/>
      <c r="AE30" s="59"/>
      <c r="AF30" s="59"/>
    </row>
    <row r="31" spans="1:37" s="6" customFormat="1" x14ac:dyDescent="0.25">
      <c r="A31" s="313" t="s">
        <v>135</v>
      </c>
      <c r="B31" s="271" t="s">
        <v>136</v>
      </c>
      <c r="C31" s="382"/>
      <c r="D31" s="384"/>
      <c r="E31" s="384"/>
      <c r="F31" s="384"/>
      <c r="G31" s="384"/>
      <c r="H31" s="383"/>
      <c r="I31" s="313" t="str">
        <f t="shared" si="7"/>
        <v>Repas &amp; logement</v>
      </c>
      <c r="J31" s="271" t="s">
        <v>136</v>
      </c>
      <c r="K31" s="382"/>
      <c r="L31" s="382"/>
      <c r="M31" s="382"/>
      <c r="N31" s="382"/>
      <c r="O31" s="382"/>
      <c r="P31" s="383"/>
      <c r="Q31" s="83">
        <f t="shared" si="9"/>
        <v>0</v>
      </c>
      <c r="R31" s="65"/>
      <c r="S31" s="470">
        <f>IF(AND(M7+M13&gt;8,T11=0),"Remarque: à partir de 8 heures de travail effectives par semaine, l’employé doit avoir souscrit une assurance-accidents non professionnels!",0)</f>
        <v>0</v>
      </c>
      <c r="T31" s="471"/>
      <c r="U31" s="472"/>
      <c r="V31" s="369"/>
      <c r="W31" s="2"/>
      <c r="X31" s="103"/>
      <c r="Y31" s="98"/>
      <c r="Z31" s="59"/>
      <c r="AA31" s="59"/>
      <c r="AB31" s="59"/>
      <c r="AC31" s="59"/>
      <c r="AD31" s="59"/>
      <c r="AE31" s="59"/>
      <c r="AF31" s="59"/>
    </row>
    <row r="32" spans="1:37" s="6" customFormat="1" ht="34.5" x14ac:dyDescent="0.25">
      <c r="A32" s="313" t="s">
        <v>137</v>
      </c>
      <c r="B32" s="272" t="s">
        <v>136</v>
      </c>
      <c r="C32" s="382"/>
      <c r="D32" s="384"/>
      <c r="E32" s="384"/>
      <c r="F32" s="384"/>
      <c r="G32" s="384"/>
      <c r="H32" s="385"/>
      <c r="I32" s="313" t="str">
        <f t="shared" si="7"/>
        <v>Oblig. de verser le salaire (art. 324a CO) (soumis à l'AVS)</v>
      </c>
      <c r="J32" s="272" t="s">
        <v>136</v>
      </c>
      <c r="K32" s="384"/>
      <c r="L32" s="384"/>
      <c r="M32" s="384"/>
      <c r="N32" s="386"/>
      <c r="O32" s="384"/>
      <c r="P32" s="385"/>
      <c r="Q32" s="70">
        <f t="shared" si="9"/>
        <v>0</v>
      </c>
      <c r="R32" s="65"/>
      <c r="S32" s="470"/>
      <c r="T32" s="471"/>
      <c r="U32" s="472"/>
      <c r="V32" s="369"/>
      <c r="W32" s="2">
        <f>IF(S31&gt;1,1,0)</f>
        <v>0</v>
      </c>
      <c r="X32" s="103"/>
      <c r="Y32" s="98"/>
      <c r="Z32" s="59"/>
      <c r="AA32" s="59"/>
      <c r="AB32" s="59"/>
      <c r="AC32" s="59"/>
      <c r="AD32" s="59"/>
      <c r="AE32" s="59"/>
      <c r="AF32" s="59"/>
      <c r="AK32" s="104"/>
    </row>
    <row r="33" spans="1:37" s="6" customFormat="1" ht="23" x14ac:dyDescent="0.25">
      <c r="A33" s="313" t="s">
        <v>138</v>
      </c>
      <c r="B33" s="272" t="s">
        <v>136</v>
      </c>
      <c r="C33" s="382"/>
      <c r="D33" s="384"/>
      <c r="E33" s="384"/>
      <c r="F33" s="384"/>
      <c r="G33" s="384"/>
      <c r="H33" s="385"/>
      <c r="I33" s="313" t="str">
        <f t="shared" si="7"/>
        <v>Oblig. de verser le salaire
(soumis à l'AVS)</v>
      </c>
      <c r="J33" s="272" t="s">
        <v>136</v>
      </c>
      <c r="K33" s="384"/>
      <c r="L33" s="384"/>
      <c r="M33" s="384"/>
      <c r="N33" s="386"/>
      <c r="O33" s="384"/>
      <c r="P33" s="385"/>
      <c r="Q33" s="70">
        <f t="shared" si="9"/>
        <v>0</v>
      </c>
      <c r="R33" s="65"/>
      <c r="S33" s="470">
        <f>IF(DATEDIF($F$7,C21,"Y")&lt;17,0,IF($C$67="oui",0,IF(AND(U2&gt;Grundlagen!$B$8-0.01,SUM(T15:T16)=0),"Remarque: si le salaire annuel brut AVS dépasse " &amp; Grundlagen!$B$8 &amp;" la personne doit être impérativement assurée auprès d’une institution de prévoyance professionnelle!",0)))</f>
        <v>0</v>
      </c>
      <c r="T33" s="471"/>
      <c r="U33" s="472"/>
      <c r="V33" s="369"/>
      <c r="W33" s="65"/>
      <c r="X33" s="103"/>
      <c r="Y33" s="98"/>
      <c r="Z33" s="59"/>
      <c r="AA33" s="59"/>
      <c r="AB33" s="59"/>
      <c r="AC33" s="59"/>
      <c r="AD33" s="59"/>
      <c r="AE33" s="59"/>
      <c r="AF33" s="59"/>
      <c r="AK33" s="104"/>
    </row>
    <row r="34" spans="1:37" s="6" customFormat="1" ht="23" x14ac:dyDescent="0.25">
      <c r="A34" s="314" t="s">
        <v>139</v>
      </c>
      <c r="B34" s="273" t="s">
        <v>136</v>
      </c>
      <c r="C34" s="382"/>
      <c r="D34" s="384"/>
      <c r="E34" s="384"/>
      <c r="F34" s="384"/>
      <c r="G34" s="384"/>
      <c r="H34" s="385"/>
      <c r="I34" s="314" t="str">
        <f t="shared" si="7"/>
        <v>Allocation maternité / militaire (soumis à l'AVS)</v>
      </c>
      <c r="J34" s="273" t="s">
        <v>136</v>
      </c>
      <c r="K34" s="384"/>
      <c r="L34" s="384"/>
      <c r="M34" s="384"/>
      <c r="N34" s="386"/>
      <c r="O34" s="384"/>
      <c r="P34" s="385"/>
      <c r="Q34" s="70">
        <f t="shared" si="9"/>
        <v>0</v>
      </c>
      <c r="R34" s="57"/>
      <c r="S34" s="470"/>
      <c r="T34" s="471"/>
      <c r="U34" s="472"/>
      <c r="V34" s="369"/>
      <c r="W34" s="2">
        <f>IF(S33&gt;1,1,0)</f>
        <v>0</v>
      </c>
      <c r="X34" s="101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</row>
    <row r="35" spans="1:37" s="2" customFormat="1" ht="23" x14ac:dyDescent="0.25">
      <c r="A35" s="314" t="s">
        <v>140</v>
      </c>
      <c r="B35" s="273" t="s">
        <v>136</v>
      </c>
      <c r="C35" s="382"/>
      <c r="D35" s="384"/>
      <c r="E35" s="384"/>
      <c r="F35" s="384"/>
      <c r="G35" s="384"/>
      <c r="H35" s="385"/>
      <c r="I35" s="314" t="str">
        <f t="shared" si="7"/>
        <v>Indemnité d'assurance
(non soumis AVS)</v>
      </c>
      <c r="J35" s="273" t="s">
        <v>136</v>
      </c>
      <c r="K35" s="384"/>
      <c r="L35" s="384"/>
      <c r="M35" s="384"/>
      <c r="N35" s="386"/>
      <c r="O35" s="384"/>
      <c r="P35" s="385"/>
      <c r="Q35" s="70">
        <f t="shared" si="9"/>
        <v>0</v>
      </c>
      <c r="R35" s="57"/>
      <c r="S35" s="470"/>
      <c r="T35" s="471"/>
      <c r="U35" s="472"/>
      <c r="V35" s="369"/>
      <c r="W35" s="57"/>
      <c r="X35" s="101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</row>
    <row r="36" spans="1:37" s="2" customFormat="1" ht="15" customHeight="1" x14ac:dyDescent="0.25">
      <c r="A36" s="312" t="s">
        <v>141</v>
      </c>
      <c r="B36" s="271" t="s">
        <v>136</v>
      </c>
      <c r="C36" s="382"/>
      <c r="D36" s="384"/>
      <c r="E36" s="384"/>
      <c r="F36" s="384"/>
      <c r="G36" s="384"/>
      <c r="H36" s="385"/>
      <c r="I36" s="312" t="str">
        <f t="shared" si="7"/>
        <v>Allocations familiales</v>
      </c>
      <c r="J36" s="271" t="s">
        <v>136</v>
      </c>
      <c r="K36" s="384"/>
      <c r="L36" s="384"/>
      <c r="M36" s="384"/>
      <c r="N36" s="386"/>
      <c r="O36" s="384"/>
      <c r="P36" s="385"/>
      <c r="Q36" s="70">
        <f t="shared" si="9"/>
        <v>0</v>
      </c>
      <c r="R36" s="57"/>
      <c r="S36" s="470">
        <f>IF(M8="",0,IF($C$16="Salaire horaire",(IF(AC6="non",IF(AND(AC6="non",AD7="oui"),0,"ATTENTION: le modèle bernois reconnaît un salaire horaire minimum de CHF 21.60 et maximum de CHF 56.50 pour les personnes autres que les proches."),IF(AND(AC6="oui",AD6="oui"),0,"ATTENTION: le modèle bernois reconnaît un salaire horaire minimum de CHF 21.60 pour les proches."))),(IF(AC6="non",IF(AND(AC6="non",AD7="oui"),(IF(AD8="oui","ATTENTION: pour les personnes autres que les proches, le modèle bernois reconnaît un salaire mensuel maximum de CHF 9'500 + 13e salaire ou de CHF 10'290 sans 13e salaire. Veuillez contrôler le taux d’occupation.",0)),"ATTENTION: pour les personnes autres que les proches, le modèle bernois reconnaît un salaire mensuel minimum de CHF 3'630 + 13e salaire ou de CHF 3'930 sans 13e salaire. Veuillez contrôler le taux d’occupation."),IF(AND(AC6="oui",AD6="oui"),0,"ATTENTION: pour les proches, le modèle bernois reconnaît un salaire mensuel de CHF 3'630 + 13e salaire ou de CHF 3'930 sans 13e salaire. Veuillez contrôler le taux d’occupation.")))))</f>
        <v>0</v>
      </c>
      <c r="T36" s="471"/>
      <c r="U36" s="472"/>
      <c r="V36" s="369"/>
      <c r="W36" s="57"/>
      <c r="X36" s="105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</row>
    <row r="37" spans="1:37" s="2" customFormat="1" ht="15" customHeight="1" x14ac:dyDescent="0.25">
      <c r="A37" s="315" t="s">
        <v>142</v>
      </c>
      <c r="B37" s="274" t="s">
        <v>136</v>
      </c>
      <c r="C37" s="291">
        <f t="shared" ref="C37:H37" si="16">MROUND(IF($C$16="Salaire horaire",SUM(C27,C29,C30,C31,C32,C33,C34,C35,C36),SUM(C22,C23,C30,C31,C32,C33,C34,C35,C36)),0.05)</f>
        <v>0</v>
      </c>
      <c r="D37" s="291">
        <f t="shared" si="16"/>
        <v>0</v>
      </c>
      <c r="E37" s="291">
        <f t="shared" si="16"/>
        <v>0</v>
      </c>
      <c r="F37" s="291">
        <f t="shared" si="16"/>
        <v>0</v>
      </c>
      <c r="G37" s="291">
        <f t="shared" si="16"/>
        <v>0</v>
      </c>
      <c r="H37" s="242">
        <f t="shared" si="16"/>
        <v>0</v>
      </c>
      <c r="I37" s="315" t="str">
        <f t="shared" si="7"/>
        <v>Salaire brut</v>
      </c>
      <c r="J37" s="274" t="s">
        <v>136</v>
      </c>
      <c r="K37" s="291">
        <f t="shared" ref="K37:P37" si="17">MROUND(IF($C$16="Salaire horaire",SUM(K27,K29,K30,K31,K32,K33,K34,K35,K36),SUM(K22,K23,K30,K31,K32,K33,K34,K35,K36)),0.05)</f>
        <v>0</v>
      </c>
      <c r="L37" s="291">
        <f t="shared" si="17"/>
        <v>0</v>
      </c>
      <c r="M37" s="291">
        <f t="shared" si="17"/>
        <v>0</v>
      </c>
      <c r="N37" s="291">
        <f t="shared" si="17"/>
        <v>0</v>
      </c>
      <c r="O37" s="291">
        <f t="shared" si="17"/>
        <v>0</v>
      </c>
      <c r="P37" s="242">
        <f t="shared" si="17"/>
        <v>0</v>
      </c>
      <c r="Q37" s="242">
        <f t="shared" si="9"/>
        <v>0</v>
      </c>
      <c r="R37" s="57"/>
      <c r="S37" s="470"/>
      <c r="T37" s="471"/>
      <c r="U37" s="472"/>
      <c r="V37" s="369"/>
      <c r="W37" s="2">
        <f>IF(S36&gt;1,5,0)</f>
        <v>0</v>
      </c>
      <c r="X37" s="101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</row>
    <row r="38" spans="1:37" s="2" customFormat="1" ht="15" customHeight="1" x14ac:dyDescent="0.25">
      <c r="A38" s="312" t="s">
        <v>143</v>
      </c>
      <c r="B38" s="275" t="s">
        <v>136</v>
      </c>
      <c r="C38" s="404">
        <f>C$80</f>
        <v>0</v>
      </c>
      <c r="D38" s="404">
        <f t="shared" ref="D38:H38" si="18">D$80</f>
        <v>0</v>
      </c>
      <c r="E38" s="404">
        <f t="shared" si="18"/>
        <v>0</v>
      </c>
      <c r="F38" s="404">
        <f t="shared" si="18"/>
        <v>0</v>
      </c>
      <c r="G38" s="404">
        <f t="shared" si="18"/>
        <v>0</v>
      </c>
      <c r="H38" s="405">
        <f t="shared" si="18"/>
        <v>0</v>
      </c>
      <c r="I38" s="312" t="str">
        <f t="shared" si="7"/>
        <v>Franchise rentier AVS</v>
      </c>
      <c r="J38" s="275" t="s">
        <v>136</v>
      </c>
      <c r="K38" s="404">
        <f>K$80</f>
        <v>0</v>
      </c>
      <c r="L38" s="404">
        <f t="shared" ref="L38:P38" si="19">L$80</f>
        <v>0</v>
      </c>
      <c r="M38" s="404">
        <f t="shared" si="19"/>
        <v>0</v>
      </c>
      <c r="N38" s="404">
        <f t="shared" si="19"/>
        <v>0</v>
      </c>
      <c r="O38" s="404">
        <f t="shared" si="19"/>
        <v>0</v>
      </c>
      <c r="P38" s="405">
        <f t="shared" si="19"/>
        <v>0</v>
      </c>
      <c r="Q38" s="307">
        <f>SUM(C38:H38)+SUM(K38:P38)</f>
        <v>0</v>
      </c>
      <c r="R38" s="57"/>
      <c r="S38" s="470"/>
      <c r="T38" s="471"/>
      <c r="U38" s="472"/>
      <c r="V38" s="369"/>
      <c r="W38" s="57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</row>
    <row r="39" spans="1:37" s="6" customFormat="1" ht="15" customHeight="1" x14ac:dyDescent="0.25">
      <c r="A39" s="315" t="s">
        <v>144</v>
      </c>
      <c r="B39" s="274" t="s">
        <v>136</v>
      </c>
      <c r="C39" s="291">
        <f>C37-C36-C35-C38</f>
        <v>0</v>
      </c>
      <c r="D39" s="291">
        <f t="shared" ref="D39:H39" si="20">D37-D36-D35-D38</f>
        <v>0</v>
      </c>
      <c r="E39" s="291">
        <f t="shared" si="20"/>
        <v>0</v>
      </c>
      <c r="F39" s="291">
        <f t="shared" si="20"/>
        <v>0</v>
      </c>
      <c r="G39" s="291">
        <f t="shared" si="20"/>
        <v>0</v>
      </c>
      <c r="H39" s="242">
        <f t="shared" si="20"/>
        <v>0</v>
      </c>
      <c r="I39" s="315" t="str">
        <f t="shared" si="7"/>
        <v>AVS montant brut</v>
      </c>
      <c r="J39" s="274" t="s">
        <v>136</v>
      </c>
      <c r="K39" s="291">
        <f t="shared" ref="K39:P39" si="21">K37-K36-K35-K38</f>
        <v>0</v>
      </c>
      <c r="L39" s="291">
        <f t="shared" si="21"/>
        <v>0</v>
      </c>
      <c r="M39" s="291">
        <f t="shared" si="21"/>
        <v>0</v>
      </c>
      <c r="N39" s="306">
        <f t="shared" si="21"/>
        <v>0</v>
      </c>
      <c r="O39" s="291">
        <f t="shared" si="21"/>
        <v>0</v>
      </c>
      <c r="P39" s="242">
        <f t="shared" si="21"/>
        <v>0</v>
      </c>
      <c r="Q39" s="242">
        <f>ROUND((SUM(C39:H39)+SUM(K39:P39))*20,0)/20</f>
        <v>0</v>
      </c>
      <c r="R39" s="79"/>
      <c r="S39" s="470"/>
      <c r="T39" s="471"/>
      <c r="U39" s="472"/>
      <c r="V39" s="369"/>
      <c r="W39" s="79"/>
      <c r="X39" s="2"/>
      <c r="Y39" s="106"/>
      <c r="Z39" s="106"/>
      <c r="AA39" s="106"/>
      <c r="AB39" s="106"/>
      <c r="AC39" s="106"/>
      <c r="AD39" s="106"/>
      <c r="AE39" s="64"/>
      <c r="AF39" s="64"/>
    </row>
    <row r="40" spans="1:37" s="2" customFormat="1" ht="15" customHeight="1" thickBot="1" x14ac:dyDescent="0.3">
      <c r="A40" s="312" t="str">
        <f>CONCATENATE("AVS/AI/APG ",T8*100,"%")</f>
        <v>AVS/AI/APG 0%</v>
      </c>
      <c r="B40" s="276" t="s">
        <v>136</v>
      </c>
      <c r="C40" s="234">
        <f>C$39*-$T$8</f>
        <v>0</v>
      </c>
      <c r="D40" s="234">
        <f t="shared" ref="D40:H40" si="22">D$39*-$T$8</f>
        <v>0</v>
      </c>
      <c r="E40" s="234">
        <f t="shared" si="22"/>
        <v>0</v>
      </c>
      <c r="F40" s="234">
        <f t="shared" si="22"/>
        <v>0</v>
      </c>
      <c r="G40" s="234">
        <f t="shared" si="22"/>
        <v>0</v>
      </c>
      <c r="H40" s="235">
        <f t="shared" si="22"/>
        <v>0</v>
      </c>
      <c r="I40" s="327" t="str">
        <f t="shared" si="7"/>
        <v>AVS/AI/APG 0%</v>
      </c>
      <c r="J40" s="276" t="s">
        <v>136</v>
      </c>
      <c r="K40" s="234">
        <f t="shared" ref="K40:P40" si="23">K$39*-$T$8</f>
        <v>0</v>
      </c>
      <c r="L40" s="234">
        <f t="shared" si="23"/>
        <v>0</v>
      </c>
      <c r="M40" s="234">
        <f t="shared" si="23"/>
        <v>0</v>
      </c>
      <c r="N40" s="236">
        <f t="shared" si="23"/>
        <v>0</v>
      </c>
      <c r="O40" s="234">
        <f t="shared" si="23"/>
        <v>0</v>
      </c>
      <c r="P40" s="235">
        <f t="shared" si="23"/>
        <v>0</v>
      </c>
      <c r="Q40" s="239">
        <f t="shared" ref="Q40:Q48" si="24">ROUND((SUM(C40:H40)+SUM(K40:P40))*20,0)/20</f>
        <v>0</v>
      </c>
      <c r="R40" s="65"/>
      <c r="S40" s="470"/>
      <c r="T40" s="471"/>
      <c r="U40" s="472"/>
      <c r="V40" s="369"/>
      <c r="W40" s="65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</row>
    <row r="41" spans="1:37" s="6" customFormat="1" ht="15" customHeight="1" x14ac:dyDescent="0.25">
      <c r="A41" s="312" t="str">
        <f>CONCATENATE("AC ",T9*100,"%")</f>
        <v>AC 0%</v>
      </c>
      <c r="B41" s="271" t="s">
        <v>136</v>
      </c>
      <c r="C41" s="237">
        <f>IF(C$38&lt;&gt;0,0,C$39*$T$9*-1)</f>
        <v>0</v>
      </c>
      <c r="D41" s="237">
        <f t="shared" ref="D41:H41" si="25">IF(D$38&lt;&gt;0,0,D$39*$T$9*-1)</f>
        <v>0</v>
      </c>
      <c r="E41" s="237">
        <f t="shared" si="25"/>
        <v>0</v>
      </c>
      <c r="F41" s="237">
        <f t="shared" si="25"/>
        <v>0</v>
      </c>
      <c r="G41" s="237">
        <f t="shared" si="25"/>
        <v>0</v>
      </c>
      <c r="H41" s="238">
        <f t="shared" si="25"/>
        <v>0</v>
      </c>
      <c r="I41" s="327" t="str">
        <f t="shared" si="7"/>
        <v>AC 0%</v>
      </c>
      <c r="J41" s="271" t="s">
        <v>136</v>
      </c>
      <c r="K41" s="237">
        <f>IF(K$38&lt;&gt;0,0,K$39*$T$9*-1)</f>
        <v>0</v>
      </c>
      <c r="L41" s="237">
        <f t="shared" ref="L41:P41" si="26">IF(L$38&lt;&gt;0,0,L$39*$T$9*-1)</f>
        <v>0</v>
      </c>
      <c r="M41" s="237">
        <f t="shared" si="26"/>
        <v>0</v>
      </c>
      <c r="N41" s="237">
        <f t="shared" si="26"/>
        <v>0</v>
      </c>
      <c r="O41" s="237">
        <f t="shared" si="26"/>
        <v>0</v>
      </c>
      <c r="P41" s="238">
        <f t="shared" si="26"/>
        <v>0</v>
      </c>
      <c r="Q41" s="240">
        <f t="shared" si="24"/>
        <v>0</v>
      </c>
      <c r="R41" s="79"/>
      <c r="S41" s="487"/>
      <c r="T41" s="487"/>
      <c r="U41" s="487"/>
      <c r="V41" s="65"/>
      <c r="X41" s="2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</row>
    <row r="42" spans="1:37" s="2" customFormat="1" ht="15" customHeight="1" x14ac:dyDescent="0.25">
      <c r="A42" s="312" t="str">
        <f>IF(T11&lt;0.01,"ANP",(CONCATENATE("ANP ",T11*100,"%")))</f>
        <v>ANP</v>
      </c>
      <c r="B42" s="271" t="s">
        <v>136</v>
      </c>
      <c r="C42" s="382">
        <f t="shared" ref="C42:H42" si="27">(C$37-C$34-C$35-C$36)*-$T$11</f>
        <v>0</v>
      </c>
      <c r="D42" s="382">
        <f t="shared" si="27"/>
        <v>0</v>
      </c>
      <c r="E42" s="382">
        <f t="shared" si="27"/>
        <v>0</v>
      </c>
      <c r="F42" s="382">
        <f t="shared" si="27"/>
        <v>0</v>
      </c>
      <c r="G42" s="382">
        <f t="shared" si="27"/>
        <v>0</v>
      </c>
      <c r="H42" s="383">
        <f t="shared" si="27"/>
        <v>0</v>
      </c>
      <c r="I42" s="327" t="str">
        <f t="shared" si="7"/>
        <v>ANP</v>
      </c>
      <c r="J42" s="271" t="s">
        <v>136</v>
      </c>
      <c r="K42" s="382">
        <f t="shared" ref="K42:P42" si="28">(K$37-K$34-K$35-K$36)*-$T$11</f>
        <v>0</v>
      </c>
      <c r="L42" s="382">
        <f t="shared" si="28"/>
        <v>0</v>
      </c>
      <c r="M42" s="382">
        <f t="shared" si="28"/>
        <v>0</v>
      </c>
      <c r="N42" s="386">
        <f t="shared" si="28"/>
        <v>0</v>
      </c>
      <c r="O42" s="382">
        <f t="shared" si="28"/>
        <v>0</v>
      </c>
      <c r="P42" s="383">
        <f t="shared" si="28"/>
        <v>0</v>
      </c>
      <c r="Q42" s="240">
        <f t="shared" si="24"/>
        <v>0</v>
      </c>
      <c r="R42" s="65"/>
      <c r="S42" s="488"/>
      <c r="T42" s="488"/>
      <c r="U42" s="488"/>
      <c r="V42" s="79"/>
      <c r="W42" s="2">
        <f>IF(S41&gt;1,1,0)</f>
        <v>0</v>
      </c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</row>
    <row r="43" spans="1:37" s="2" customFormat="1" ht="15" customHeight="1" x14ac:dyDescent="0.25">
      <c r="A43" s="312" t="str">
        <f>IF(T13&lt;0.0000001,"IJM",(CONCATENATE("IJM ",T13*100,"%")))</f>
        <v>IJM</v>
      </c>
      <c r="B43" s="271" t="s">
        <v>136</v>
      </c>
      <c r="C43" s="382">
        <f t="shared" ref="C43:H43" si="29">(C$37-C$34-C$35-C$36)*-$T$13</f>
        <v>0</v>
      </c>
      <c r="D43" s="382">
        <f t="shared" si="29"/>
        <v>0</v>
      </c>
      <c r="E43" s="382">
        <f t="shared" si="29"/>
        <v>0</v>
      </c>
      <c r="F43" s="382">
        <f t="shared" si="29"/>
        <v>0</v>
      </c>
      <c r="G43" s="382">
        <f t="shared" si="29"/>
        <v>0</v>
      </c>
      <c r="H43" s="383">
        <f t="shared" si="29"/>
        <v>0</v>
      </c>
      <c r="I43" s="327" t="str">
        <f t="shared" si="7"/>
        <v>IJM</v>
      </c>
      <c r="J43" s="271" t="s">
        <v>136</v>
      </c>
      <c r="K43" s="382">
        <f t="shared" ref="K43:P43" si="30">(K$37-K$34-K$35-K$36)*-$T$13</f>
        <v>0</v>
      </c>
      <c r="L43" s="382">
        <f t="shared" si="30"/>
        <v>0</v>
      </c>
      <c r="M43" s="382">
        <f t="shared" si="30"/>
        <v>0</v>
      </c>
      <c r="N43" s="386">
        <f t="shared" si="30"/>
        <v>0</v>
      </c>
      <c r="O43" s="382">
        <f t="shared" si="30"/>
        <v>0</v>
      </c>
      <c r="P43" s="383">
        <f t="shared" si="30"/>
        <v>0</v>
      </c>
      <c r="Q43" s="240">
        <f t="shared" si="24"/>
        <v>0</v>
      </c>
      <c r="R43" s="65"/>
      <c r="S43" s="488"/>
      <c r="T43" s="488"/>
      <c r="U43" s="488"/>
      <c r="V43" s="65"/>
      <c r="W43" s="65"/>
      <c r="X43" s="101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245"/>
    </row>
    <row r="44" spans="1:37" s="2" customFormat="1" ht="15" customHeight="1" x14ac:dyDescent="0.25">
      <c r="A44" s="312" t="str">
        <f>IF(T16&gt;0.01%,(CONCATENATE("LPP ",T16*100,"%")),IF(T15&lt;0.01,"LPP",(CONCATENATE("LPP ","CHF ",T15))))</f>
        <v>LPP</v>
      </c>
      <c r="B44" s="271" t="s">
        <v>136</v>
      </c>
      <c r="C44" s="382">
        <f t="shared" ref="C44:H44" si="31">IF(OR(C$39=0,C$67="oui",DATEDIF($F$7,$A$21,"Y")&lt;18),0,IF($T$16&gt;0.1%,-$T$16*C$39,-$T$15))</f>
        <v>0</v>
      </c>
      <c r="D44" s="382">
        <f t="shared" si="31"/>
        <v>0</v>
      </c>
      <c r="E44" s="382">
        <f t="shared" si="31"/>
        <v>0</v>
      </c>
      <c r="F44" s="382">
        <f t="shared" si="31"/>
        <v>0</v>
      </c>
      <c r="G44" s="382">
        <f t="shared" si="31"/>
        <v>0</v>
      </c>
      <c r="H44" s="383">
        <f t="shared" si="31"/>
        <v>0</v>
      </c>
      <c r="I44" s="327" t="str">
        <f t="shared" si="7"/>
        <v>LPP</v>
      </c>
      <c r="J44" s="271" t="s">
        <v>136</v>
      </c>
      <c r="K44" s="382">
        <f t="shared" ref="K44:P44" si="32">IF(OR(K$39=0,K$67="oui",DATEDIF($F$7,$A$21,"Y")&lt;18),0,IF($T$16&gt;0.1%,-$T$16*K$39,-$T$15))</f>
        <v>0</v>
      </c>
      <c r="L44" s="382">
        <f t="shared" si="32"/>
        <v>0</v>
      </c>
      <c r="M44" s="382">
        <f t="shared" si="32"/>
        <v>0</v>
      </c>
      <c r="N44" s="382">
        <f t="shared" si="32"/>
        <v>0</v>
      </c>
      <c r="O44" s="382">
        <f t="shared" si="32"/>
        <v>0</v>
      </c>
      <c r="P44" s="383">
        <f t="shared" si="32"/>
        <v>0</v>
      </c>
      <c r="Q44" s="240">
        <f t="shared" si="24"/>
        <v>0</v>
      </c>
      <c r="R44" s="65"/>
      <c r="S44" s="65"/>
      <c r="T44" s="65"/>
      <c r="U44" s="65"/>
      <c r="V44" s="65"/>
      <c r="W44" s="101"/>
      <c r="X44" s="59"/>
      <c r="Y44" s="59"/>
      <c r="Z44" s="59"/>
      <c r="AA44" s="59"/>
      <c r="AB44" s="59"/>
      <c r="AC44" s="59"/>
      <c r="AD44" s="59"/>
      <c r="AE44" s="59"/>
    </row>
    <row r="45" spans="1:37" s="2" customFormat="1" ht="15" customHeight="1" x14ac:dyDescent="0.25">
      <c r="A45" s="312" t="str">
        <f>IF(G13="à choisir","",IF(OR(Y9&lt;5%,G13="ordinaire",)," ",(CONCATENATE("Impôt selon LTN ",Y9*100,"%"))))</f>
        <v/>
      </c>
      <c r="B45" s="270" t="str">
        <f>IF(A45="Impôt selon LTN 5%","CHF"," ")</f>
        <v xml:space="preserve"> </v>
      </c>
      <c r="C45" s="382">
        <f t="shared" ref="C45:H45" si="33">IF(C39+C38=0,0,IF(C$67="no",C39*-$Y$9,IF(AND(C38&gt;1),(C39+C38)*-$Y$9,C39*-$Y$9)))</f>
        <v>0</v>
      </c>
      <c r="D45" s="382">
        <f t="shared" si="33"/>
        <v>0</v>
      </c>
      <c r="E45" s="382">
        <f t="shared" si="33"/>
        <v>0</v>
      </c>
      <c r="F45" s="382">
        <f t="shared" si="33"/>
        <v>0</v>
      </c>
      <c r="G45" s="382">
        <f t="shared" si="33"/>
        <v>0</v>
      </c>
      <c r="H45" s="383">
        <f t="shared" si="33"/>
        <v>0</v>
      </c>
      <c r="I45" s="312" t="str">
        <f t="shared" si="7"/>
        <v/>
      </c>
      <c r="J45" s="270" t="str">
        <f>IF(I45="QST gem. BGSA 5%","CHF"," ")</f>
        <v xml:space="preserve"> </v>
      </c>
      <c r="K45" s="382">
        <f t="shared" ref="K45:P45" si="34">IF(K39+K38=0,0,IF(K$67="no",K39*-$Y$9,IF(AND(K38&gt;1),(K39+K38)*-$Y$9,K39*-$Y$9)))</f>
        <v>0</v>
      </c>
      <c r="L45" s="382">
        <f t="shared" si="34"/>
        <v>0</v>
      </c>
      <c r="M45" s="382">
        <f t="shared" si="34"/>
        <v>0</v>
      </c>
      <c r="N45" s="382">
        <f t="shared" si="34"/>
        <v>0</v>
      </c>
      <c r="O45" s="382">
        <f t="shared" si="34"/>
        <v>0</v>
      </c>
      <c r="P45" s="383">
        <f t="shared" si="34"/>
        <v>0</v>
      </c>
      <c r="Q45" s="304">
        <f>ROUND((SUM(C45:H45)+SUM(K45:P45))*20,0)/20</f>
        <v>0</v>
      </c>
      <c r="R45" s="65"/>
      <c r="S45" s="65"/>
      <c r="T45" s="65"/>
      <c r="U45" s="65"/>
      <c r="V45" s="65"/>
      <c r="W45" s="79">
        <f>SUM(W21:W43)</f>
        <v>0</v>
      </c>
      <c r="X45" s="58"/>
      <c r="Y45" s="59"/>
      <c r="Z45" s="59"/>
      <c r="AA45" s="59"/>
      <c r="AB45" s="59"/>
      <c r="AC45" s="59"/>
      <c r="AD45" s="59"/>
      <c r="AE45" s="59"/>
    </row>
    <row r="46" spans="1:37" s="2" customFormat="1" ht="15" customHeight="1" x14ac:dyDescent="0.25">
      <c r="A46" s="312" t="str">
        <f>IF(G13="ordinaire","Impôt à la source","")</f>
        <v/>
      </c>
      <c r="B46" s="270" t="str">
        <f>IF(A46="Impôt à la source","CHF"," ")</f>
        <v xml:space="preserve"> </v>
      </c>
      <c r="C46" s="382"/>
      <c r="D46" s="382"/>
      <c r="E46" s="382"/>
      <c r="F46" s="382"/>
      <c r="G46" s="382"/>
      <c r="H46" s="385"/>
      <c r="I46" s="327" t="str">
        <f t="shared" si="7"/>
        <v/>
      </c>
      <c r="J46" s="270" t="str">
        <f>IF(I46="QST","CHF"," ")</f>
        <v xml:space="preserve"> </v>
      </c>
      <c r="K46" s="384"/>
      <c r="L46" s="384"/>
      <c r="M46" s="384"/>
      <c r="N46" s="386"/>
      <c r="O46" s="384"/>
      <c r="P46" s="385"/>
      <c r="Q46" s="70">
        <f t="shared" si="24"/>
        <v>0</v>
      </c>
      <c r="R46" s="65"/>
      <c r="S46" s="65"/>
      <c r="T46" s="65"/>
      <c r="U46" s="65"/>
      <c r="V46" s="65"/>
      <c r="W46" s="101"/>
      <c r="X46" s="59"/>
      <c r="Y46" s="59"/>
      <c r="Z46" s="59"/>
      <c r="AA46" s="59"/>
      <c r="AB46" s="59"/>
      <c r="AC46" s="59"/>
      <c r="AD46" s="59"/>
      <c r="AE46" s="59"/>
    </row>
    <row r="47" spans="1:37" s="2" customFormat="1" ht="15" customHeight="1" x14ac:dyDescent="0.25">
      <c r="A47" s="312" t="s">
        <v>145</v>
      </c>
      <c r="B47" s="271" t="s">
        <v>136</v>
      </c>
      <c r="C47" s="382"/>
      <c r="D47" s="384"/>
      <c r="E47" s="384"/>
      <c r="F47" s="384"/>
      <c r="G47" s="384"/>
      <c r="H47" s="385"/>
      <c r="I47" s="327" t="str">
        <f t="shared" si="7"/>
        <v>Frais effectifs</v>
      </c>
      <c r="J47" s="271" t="s">
        <v>136</v>
      </c>
      <c r="K47" s="384"/>
      <c r="L47" s="384"/>
      <c r="M47" s="384"/>
      <c r="N47" s="386"/>
      <c r="O47" s="384"/>
      <c r="P47" s="385"/>
      <c r="Q47" s="70">
        <f t="shared" si="24"/>
        <v>0</v>
      </c>
      <c r="R47" s="172"/>
      <c r="S47" s="65"/>
      <c r="T47" s="65"/>
      <c r="U47" s="65"/>
      <c r="V47" s="172"/>
      <c r="W47" s="101"/>
      <c r="X47" s="58"/>
      <c r="Y47" s="59"/>
      <c r="Z47" s="59"/>
      <c r="AA47" s="59"/>
      <c r="AB47" s="59"/>
      <c r="AC47" s="59"/>
      <c r="AD47" s="59"/>
      <c r="AE47" s="59"/>
    </row>
    <row r="48" spans="1:37" s="2" customFormat="1" ht="15" customHeight="1" x14ac:dyDescent="0.25">
      <c r="A48" s="316" t="s">
        <v>135</v>
      </c>
      <c r="B48" s="275" t="s">
        <v>136</v>
      </c>
      <c r="C48" s="382">
        <f>-C31</f>
        <v>0</v>
      </c>
      <c r="D48" s="384">
        <f t="shared" ref="D48:H48" si="35">-D31</f>
        <v>0</v>
      </c>
      <c r="E48" s="384">
        <f t="shared" si="35"/>
        <v>0</v>
      </c>
      <c r="F48" s="384">
        <f t="shared" si="35"/>
        <v>0</v>
      </c>
      <c r="G48" s="384">
        <f t="shared" si="35"/>
        <v>0</v>
      </c>
      <c r="H48" s="385">
        <f t="shared" si="35"/>
        <v>0</v>
      </c>
      <c r="I48" s="328" t="str">
        <f t="shared" si="7"/>
        <v>Repas &amp; logement</v>
      </c>
      <c r="J48" s="275" t="s">
        <v>136</v>
      </c>
      <c r="K48" s="384">
        <f t="shared" ref="K48:P48" si="36">-K31</f>
        <v>0</v>
      </c>
      <c r="L48" s="384">
        <f t="shared" si="36"/>
        <v>0</v>
      </c>
      <c r="M48" s="384">
        <f t="shared" si="36"/>
        <v>0</v>
      </c>
      <c r="N48" s="386">
        <f t="shared" si="36"/>
        <v>0</v>
      </c>
      <c r="O48" s="384">
        <f t="shared" si="36"/>
        <v>0</v>
      </c>
      <c r="P48" s="385">
        <f t="shared" si="36"/>
        <v>0</v>
      </c>
      <c r="Q48" s="241">
        <f t="shared" si="24"/>
        <v>0</v>
      </c>
      <c r="R48" s="57"/>
      <c r="S48" s="172"/>
      <c r="T48" s="172"/>
      <c r="U48" s="172"/>
      <c r="V48" s="57"/>
      <c r="W48" s="101"/>
      <c r="X48" s="58"/>
      <c r="Y48" s="59"/>
      <c r="Z48" s="59"/>
      <c r="AA48" s="59"/>
      <c r="AB48" s="59"/>
      <c r="AC48" s="59"/>
      <c r="AD48" s="59"/>
      <c r="AE48" s="59"/>
    </row>
    <row r="49" spans="1:31" s="2" customFormat="1" ht="15" customHeight="1" x14ac:dyDescent="0.25">
      <c r="A49" s="335" t="s">
        <v>146</v>
      </c>
      <c r="B49" s="336" t="s">
        <v>136</v>
      </c>
      <c r="C49" s="331">
        <f>MROUND(C37+(SUM(C40:C46)+C47+C48),0.05)</f>
        <v>0</v>
      </c>
      <c r="D49" s="331">
        <f t="shared" ref="D49:H49" si="37">MROUND(D37+(SUM(D40:D46)+D47+D48),0.05)</f>
        <v>0</v>
      </c>
      <c r="E49" s="331">
        <f t="shared" si="37"/>
        <v>0</v>
      </c>
      <c r="F49" s="331">
        <f t="shared" si="37"/>
        <v>0</v>
      </c>
      <c r="G49" s="331">
        <f t="shared" si="37"/>
        <v>0</v>
      </c>
      <c r="H49" s="333">
        <f t="shared" si="37"/>
        <v>0</v>
      </c>
      <c r="I49" s="335" t="str">
        <f t="shared" si="7"/>
        <v>Salaire net</v>
      </c>
      <c r="J49" s="336" t="s">
        <v>136</v>
      </c>
      <c r="K49" s="331">
        <f t="shared" ref="K49:P49" si="38">MROUND(K37+(SUM(K40:K46)+K47+K48),0.05)</f>
        <v>0</v>
      </c>
      <c r="L49" s="331">
        <f t="shared" si="38"/>
        <v>0</v>
      </c>
      <c r="M49" s="331">
        <f t="shared" si="38"/>
        <v>0</v>
      </c>
      <c r="N49" s="331">
        <f t="shared" si="38"/>
        <v>0</v>
      </c>
      <c r="O49" s="331">
        <f t="shared" si="38"/>
        <v>0</v>
      </c>
      <c r="P49" s="333">
        <f t="shared" si="38"/>
        <v>0</v>
      </c>
      <c r="Q49" s="242">
        <f>SUM(C49:H49)+SUM(K49:P49)</f>
        <v>0</v>
      </c>
      <c r="R49" s="57"/>
      <c r="S49" s="57"/>
      <c r="T49" s="57"/>
      <c r="U49" s="57"/>
      <c r="V49" s="57"/>
      <c r="W49" s="101"/>
      <c r="X49" s="58"/>
      <c r="Y49" s="59"/>
      <c r="Z49" s="59"/>
      <c r="AA49" s="59"/>
      <c r="AB49" s="59"/>
      <c r="AC49" s="59"/>
      <c r="AD49" s="59"/>
      <c r="AE49" s="59"/>
    </row>
    <row r="50" spans="1:31" s="2" customFormat="1" ht="15" customHeight="1" x14ac:dyDescent="0.25">
      <c r="A50" s="337" t="s">
        <v>147</v>
      </c>
      <c r="B50" s="330" t="s">
        <v>136</v>
      </c>
      <c r="C50" s="382"/>
      <c r="D50" s="382"/>
      <c r="E50" s="382"/>
      <c r="F50" s="382"/>
      <c r="G50" s="382"/>
      <c r="H50" s="383"/>
      <c r="I50" s="337" t="str">
        <f t="shared" si="7"/>
        <v>Salaire net payé</v>
      </c>
      <c r="J50" s="330" t="s">
        <v>136</v>
      </c>
      <c r="K50" s="382"/>
      <c r="L50" s="382"/>
      <c r="M50" s="382"/>
      <c r="N50" s="382"/>
      <c r="O50" s="382"/>
      <c r="P50" s="383"/>
      <c r="Q50" s="309">
        <f>SUM(C50:H50)+SUM(K50:P50)</f>
        <v>0</v>
      </c>
      <c r="R50" s="57"/>
      <c r="S50" s="57"/>
      <c r="T50" s="57"/>
      <c r="U50" s="57"/>
      <c r="V50" s="57"/>
      <c r="W50" s="101"/>
      <c r="X50" s="58"/>
      <c r="Y50" s="59"/>
      <c r="Z50" s="59"/>
      <c r="AA50" s="59"/>
      <c r="AB50" s="59"/>
      <c r="AC50" s="59"/>
      <c r="AD50" s="59"/>
      <c r="AE50" s="59"/>
    </row>
    <row r="51" spans="1:31" s="2" customFormat="1" ht="15" customHeight="1" x14ac:dyDescent="0.25">
      <c r="A51" s="338" t="s">
        <v>148</v>
      </c>
      <c r="B51" s="339" t="s">
        <v>136</v>
      </c>
      <c r="C51" s="332">
        <f>IF(C50=0,0,C50-C49)</f>
        <v>0</v>
      </c>
      <c r="D51" s="332">
        <f t="shared" ref="D51:H51" si="39">IF(D50=0,0,D50-D49)</f>
        <v>0</v>
      </c>
      <c r="E51" s="332">
        <f t="shared" si="39"/>
        <v>0</v>
      </c>
      <c r="F51" s="332">
        <f t="shared" si="39"/>
        <v>0</v>
      </c>
      <c r="G51" s="332">
        <f t="shared" si="39"/>
        <v>0</v>
      </c>
      <c r="H51" s="334">
        <f t="shared" si="39"/>
        <v>0</v>
      </c>
      <c r="I51" s="338" t="str">
        <f t="shared" si="7"/>
        <v>Différence</v>
      </c>
      <c r="J51" s="339" t="s">
        <v>136</v>
      </c>
      <c r="K51" s="332">
        <f t="shared" ref="K51:P51" si="40">IF(K50=0,0,K50-K49)</f>
        <v>0</v>
      </c>
      <c r="L51" s="332">
        <f t="shared" si="40"/>
        <v>0</v>
      </c>
      <c r="M51" s="332">
        <f t="shared" si="40"/>
        <v>0</v>
      </c>
      <c r="N51" s="332">
        <f t="shared" si="40"/>
        <v>0</v>
      </c>
      <c r="O51" s="332">
        <f t="shared" si="40"/>
        <v>0</v>
      </c>
      <c r="P51" s="334">
        <f t="shared" si="40"/>
        <v>0</v>
      </c>
      <c r="Q51" s="309">
        <f>SUM(C51:H51)+SUM(K51:P51)</f>
        <v>0</v>
      </c>
      <c r="R51" s="57"/>
      <c r="S51" s="57"/>
      <c r="T51" s="57"/>
      <c r="U51" s="57"/>
      <c r="V51" s="57"/>
      <c r="W51" s="101"/>
      <c r="X51" s="58"/>
      <c r="Y51" s="59"/>
      <c r="Z51" s="59"/>
      <c r="AA51" s="59"/>
      <c r="AB51" s="59"/>
      <c r="AC51" s="59"/>
      <c r="AD51" s="59"/>
      <c r="AE51" s="59"/>
    </row>
    <row r="52" spans="1:31" s="2" customFormat="1" ht="15" customHeight="1" x14ac:dyDescent="0.25">
      <c r="A52" s="71" t="s">
        <v>149</v>
      </c>
      <c r="B52" s="326"/>
      <c r="C52" s="458"/>
      <c r="D52" s="458"/>
      <c r="E52" s="458"/>
      <c r="F52" s="458"/>
      <c r="G52" s="458"/>
      <c r="H52" s="462"/>
      <c r="I52" s="71" t="str">
        <f t="shared" si="7"/>
        <v>Remarques</v>
      </c>
      <c r="J52" s="326"/>
      <c r="K52" s="458"/>
      <c r="L52" s="458"/>
      <c r="M52" s="458"/>
      <c r="N52" s="458"/>
      <c r="O52" s="464"/>
      <c r="P52" s="462"/>
      <c r="Q52" s="72">
        <f t="shared" ref="Q52" si="41">SUM(C52:H52)+SUM(K52:P52)</f>
        <v>0</v>
      </c>
      <c r="R52" s="65"/>
      <c r="S52" s="57"/>
      <c r="T52" s="57"/>
      <c r="U52" s="57"/>
      <c r="V52" s="65"/>
      <c r="W52" s="101"/>
      <c r="X52" s="59"/>
      <c r="Y52" s="59"/>
      <c r="Z52" s="59"/>
      <c r="AA52" s="59"/>
      <c r="AB52" s="59"/>
      <c r="AC52" s="59"/>
      <c r="AD52" s="59"/>
      <c r="AE52" s="59"/>
    </row>
    <row r="53" spans="1:31" s="6" customFormat="1" ht="15" customHeight="1" thickBot="1" x14ac:dyDescent="0.3">
      <c r="A53" s="317"/>
      <c r="B53" s="277"/>
      <c r="C53" s="459"/>
      <c r="D53" s="459"/>
      <c r="E53" s="459"/>
      <c r="F53" s="459"/>
      <c r="G53" s="459"/>
      <c r="H53" s="463"/>
      <c r="I53" s="317"/>
      <c r="J53" s="277"/>
      <c r="K53" s="459"/>
      <c r="L53" s="459"/>
      <c r="M53" s="459"/>
      <c r="N53" s="459"/>
      <c r="O53" s="465"/>
      <c r="P53" s="463"/>
      <c r="Q53" s="73"/>
      <c r="R53" s="79"/>
      <c r="S53" s="65"/>
      <c r="T53" s="65"/>
      <c r="U53" s="65"/>
      <c r="V53" s="79"/>
      <c r="W53" s="101"/>
      <c r="X53" s="59"/>
      <c r="Y53" s="59"/>
      <c r="Z53" s="59"/>
      <c r="AA53" s="59"/>
      <c r="AB53" s="59"/>
      <c r="AC53" s="59"/>
      <c r="AD53" s="64"/>
      <c r="AE53" s="64"/>
    </row>
    <row r="54" spans="1:31" s="2" customFormat="1" ht="5.15" customHeight="1" thickBot="1" x14ac:dyDescent="0.35">
      <c r="A54" s="53"/>
      <c r="B54" s="53"/>
      <c r="C54" s="74"/>
      <c r="D54" s="54"/>
      <c r="E54" s="55"/>
      <c r="F54" s="54"/>
      <c r="G54" s="54"/>
      <c r="H54" s="56"/>
      <c r="I54" s="53"/>
      <c r="J54" s="53"/>
      <c r="K54" s="56"/>
      <c r="L54" s="56"/>
      <c r="M54" s="56"/>
      <c r="N54" s="74"/>
      <c r="O54" s="54"/>
      <c r="P54" s="54"/>
      <c r="Q54" s="54">
        <f>SUM(C54:H54)+SUM(K54:P54)</f>
        <v>0</v>
      </c>
      <c r="R54" s="57"/>
      <c r="S54" s="79"/>
      <c r="T54" s="79"/>
      <c r="U54" s="79"/>
      <c r="V54" s="57"/>
      <c r="W54" s="102"/>
      <c r="X54" s="63"/>
      <c r="Y54" s="64"/>
      <c r="Z54" s="64"/>
      <c r="AA54" s="64"/>
      <c r="AB54" s="64"/>
      <c r="AC54" s="64"/>
      <c r="AD54" s="59"/>
      <c r="AE54" s="59"/>
    </row>
    <row r="55" spans="1:31" s="2" customFormat="1" ht="15" customHeight="1" x14ac:dyDescent="0.25">
      <c r="A55" s="318" t="s">
        <v>150</v>
      </c>
      <c r="B55" s="278"/>
      <c r="C55" s="85">
        <f t="shared" ref="C55:H55" si="42">C21</f>
        <v>46023</v>
      </c>
      <c r="D55" s="86">
        <f t="shared" si="42"/>
        <v>46054</v>
      </c>
      <c r="E55" s="86">
        <f t="shared" si="42"/>
        <v>46082</v>
      </c>
      <c r="F55" s="86">
        <f t="shared" si="42"/>
        <v>46113</v>
      </c>
      <c r="G55" s="86">
        <f t="shared" si="42"/>
        <v>46143</v>
      </c>
      <c r="H55" s="87">
        <f t="shared" si="42"/>
        <v>46174</v>
      </c>
      <c r="I55" s="318" t="str">
        <f>A55</f>
        <v>Données pour AssistMe:</v>
      </c>
      <c r="J55" s="278"/>
      <c r="K55" s="86">
        <f t="shared" ref="K55:P55" si="43">K21</f>
        <v>46204</v>
      </c>
      <c r="L55" s="86">
        <f t="shared" si="43"/>
        <v>46235</v>
      </c>
      <c r="M55" s="86">
        <f t="shared" si="43"/>
        <v>46266</v>
      </c>
      <c r="N55" s="88">
        <f t="shared" si="43"/>
        <v>46296</v>
      </c>
      <c r="O55" s="86">
        <f t="shared" si="43"/>
        <v>46327</v>
      </c>
      <c r="P55" s="87">
        <f t="shared" si="43"/>
        <v>46357</v>
      </c>
      <c r="Q55" s="229" t="s">
        <v>134</v>
      </c>
      <c r="R55" s="57"/>
      <c r="S55" s="57"/>
      <c r="T55" s="57"/>
      <c r="U55" s="57"/>
      <c r="V55" s="57"/>
      <c r="W55" s="101"/>
      <c r="X55" s="59"/>
      <c r="Y55" s="59"/>
      <c r="Z55" s="59"/>
      <c r="AA55" s="59"/>
      <c r="AB55" s="59"/>
      <c r="AC55" s="59"/>
      <c r="AD55" s="59"/>
      <c r="AE55" s="59"/>
    </row>
    <row r="56" spans="1:31" s="2" customFormat="1" ht="15" customHeight="1" x14ac:dyDescent="0.25">
      <c r="A56" s="319" t="s">
        <v>151</v>
      </c>
      <c r="B56" s="279" t="s">
        <v>152</v>
      </c>
      <c r="C56" s="292" t="str">
        <f t="shared" ref="C56:H56" si="44">IF($C$16="Salaire horaire",IF($M$8="","",(C25*$P$10)+(C24*$P$7)+C26+C28+(C32+C33)/(IF($M$13&gt;1,((($M$8+$M$13)/2)),$M$8))),"Salaire mensuel")</f>
        <v>Salaire mensuel</v>
      </c>
      <c r="D56" s="292" t="str">
        <f t="shared" si="44"/>
        <v>Salaire mensuel</v>
      </c>
      <c r="E56" s="292" t="str">
        <f t="shared" si="44"/>
        <v>Salaire mensuel</v>
      </c>
      <c r="F56" s="292" t="str">
        <f t="shared" si="44"/>
        <v>Salaire mensuel</v>
      </c>
      <c r="G56" s="292" t="str">
        <f t="shared" si="44"/>
        <v>Salaire mensuel</v>
      </c>
      <c r="H56" s="293" t="str">
        <f t="shared" si="44"/>
        <v>Salaire mensuel</v>
      </c>
      <c r="I56" s="320" t="str">
        <f>A56</f>
        <v>Nombre d'heures</v>
      </c>
      <c r="J56" s="279" t="s">
        <v>153</v>
      </c>
      <c r="K56" s="292" t="str">
        <f t="shared" ref="K56:P56" si="45">IF($C$16="Salaire horaire",IF($M$8="","",(K25*$P$10)+(K24*$P$7)+K26+K28+(K32+K33)/(IF($M$13&gt;1,((($M$8+$M$13)/2)),$M$8))),"Salaire mensuel")</f>
        <v>Salaire mensuel</v>
      </c>
      <c r="L56" s="292" t="str">
        <f t="shared" si="45"/>
        <v>Salaire mensuel</v>
      </c>
      <c r="M56" s="292" t="str">
        <f t="shared" si="45"/>
        <v>Salaire mensuel</v>
      </c>
      <c r="N56" s="292" t="str">
        <f t="shared" si="45"/>
        <v>Salaire mensuel</v>
      </c>
      <c r="O56" s="292" t="str">
        <f t="shared" si="45"/>
        <v>Salaire mensuel</v>
      </c>
      <c r="P56" s="293" t="str">
        <f t="shared" si="45"/>
        <v>Salaire mensuel</v>
      </c>
      <c r="Q56" s="233">
        <f>SUM(C56:H56)+SUM(K56:P56)</f>
        <v>0</v>
      </c>
      <c r="R56" s="57"/>
      <c r="S56" s="57"/>
      <c r="T56" s="57"/>
      <c r="U56" s="57"/>
      <c r="V56" s="57"/>
      <c r="W56" s="101"/>
      <c r="X56" s="59"/>
      <c r="Y56" s="59"/>
      <c r="Z56" s="59"/>
      <c r="AA56" s="59"/>
      <c r="AB56" s="59"/>
      <c r="AC56" s="59"/>
      <c r="AD56" s="59"/>
      <c r="AE56" s="59"/>
    </row>
    <row r="57" spans="1:31" s="2" customFormat="1" ht="15" customHeight="1" x14ac:dyDescent="0.25">
      <c r="A57" s="320" t="s">
        <v>146</v>
      </c>
      <c r="B57" s="280" t="s">
        <v>136</v>
      </c>
      <c r="C57" s="294">
        <f>C49-C48-C47-C46-C36-C35-C34-C31</f>
        <v>0</v>
      </c>
      <c r="D57" s="294">
        <f t="shared" ref="D57:H57" si="46">D49-D48-D47-D46-D36-D35-D34-D31</f>
        <v>0</v>
      </c>
      <c r="E57" s="294">
        <f t="shared" si="46"/>
        <v>0</v>
      </c>
      <c r="F57" s="294">
        <f t="shared" si="46"/>
        <v>0</v>
      </c>
      <c r="G57" s="294">
        <f t="shared" si="46"/>
        <v>0</v>
      </c>
      <c r="H57" s="293">
        <f t="shared" si="46"/>
        <v>0</v>
      </c>
      <c r="I57" s="320" t="str">
        <f>A57</f>
        <v>Salaire net</v>
      </c>
      <c r="J57" s="280" t="s">
        <v>136</v>
      </c>
      <c r="K57" s="60">
        <f t="shared" ref="K57:P57" si="47">K49-K48-K47-K46-K36-K35-K34-K31</f>
        <v>0</v>
      </c>
      <c r="L57" s="60">
        <f t="shared" si="47"/>
        <v>0</v>
      </c>
      <c r="M57" s="60">
        <f t="shared" si="47"/>
        <v>0</v>
      </c>
      <c r="N57" s="301">
        <f t="shared" si="47"/>
        <v>0</v>
      </c>
      <c r="O57" s="60">
        <f t="shared" si="47"/>
        <v>0</v>
      </c>
      <c r="P57" s="61">
        <f t="shared" si="47"/>
        <v>0</v>
      </c>
      <c r="Q57" s="61">
        <f>SUM(C57:H57)+SUM(K57:P57)</f>
        <v>0</v>
      </c>
      <c r="R57" s="57"/>
      <c r="S57" s="57"/>
      <c r="T57" s="57"/>
      <c r="U57" s="57"/>
      <c r="V57" s="57"/>
      <c r="W57" s="101"/>
      <c r="X57" s="58"/>
      <c r="Y57" s="59"/>
      <c r="Z57" s="59"/>
      <c r="AA57" s="59"/>
      <c r="AB57" s="59"/>
      <c r="AC57" s="59"/>
      <c r="AD57" s="59"/>
      <c r="AE57" s="59"/>
    </row>
    <row r="58" spans="1:31" s="2" customFormat="1" ht="15" customHeight="1" thickBot="1" x14ac:dyDescent="0.3">
      <c r="A58" s="321" t="s">
        <v>154</v>
      </c>
      <c r="B58" s="281" t="s">
        <v>136</v>
      </c>
      <c r="C58" s="295">
        <f>IF(C32&gt;0.1,C32-(C32*(SUM($T$8:$T$14)+$Y$9+$T$16))-(C32/IF(C39=0,1,C39)*-C44),IF(C32&lt;-0.1,C32-(C32*(SUM($T$8:$T$14)+$Y$9+$T$16))-(C32/IF(C39=0,1,C39)*-C44),0))</f>
        <v>0</v>
      </c>
      <c r="D58" s="295">
        <f t="shared" ref="D58:H58" si="48">IF(D32&gt;0.1,D32-(D32*(SUM($T$8:$T$14)+$Y$9+$T$16))-(D32/IF(D39=0,1,D39)*-D44),IF(D32&lt;-0.1,D32-(D32*(SUM($T$8:$T$14)+$Y$9+$T$16))-(D32/IF(D39=0,1,D39)*-D44),0))</f>
        <v>0</v>
      </c>
      <c r="E58" s="295">
        <f t="shared" si="48"/>
        <v>0</v>
      </c>
      <c r="F58" s="295">
        <f t="shared" si="48"/>
        <v>0</v>
      </c>
      <c r="G58" s="295">
        <f t="shared" si="48"/>
        <v>0</v>
      </c>
      <c r="H58" s="296">
        <f t="shared" si="48"/>
        <v>0</v>
      </c>
      <c r="I58" s="321" t="str">
        <f>A58</f>
        <v>Dont oblig. de verser le salaire (art. 324a CO)</v>
      </c>
      <c r="J58" s="281" t="s">
        <v>136</v>
      </c>
      <c r="K58" s="295">
        <f t="shared" ref="K58:P58" si="49">IF(K32&gt;0.1,K32-(K32*(SUM($T$8:$T$14)+$Y$9+$T$16))-(K32/IF(K39=0,1,K39)*-K44),IF(K32&lt;-0.1,K32-(K32*(SUM($T$8:$T$14)+$Y$9+$T$16))-(K32/IF(K39=0,1,K39)*-K44),0))</f>
        <v>0</v>
      </c>
      <c r="L58" s="295">
        <f t="shared" si="49"/>
        <v>0</v>
      </c>
      <c r="M58" s="295">
        <f t="shared" si="49"/>
        <v>0</v>
      </c>
      <c r="N58" s="295">
        <f t="shared" si="49"/>
        <v>0</v>
      </c>
      <c r="O58" s="295">
        <f t="shared" si="49"/>
        <v>0</v>
      </c>
      <c r="P58" s="296">
        <f t="shared" si="49"/>
        <v>0</v>
      </c>
      <c r="Q58" s="84">
        <f>SUM(C58:H58)+SUM(K58:P58)</f>
        <v>0</v>
      </c>
      <c r="R58" s="57"/>
      <c r="S58" s="57"/>
      <c r="T58" s="57"/>
      <c r="U58" s="57"/>
      <c r="V58" s="57"/>
      <c r="W58" s="101"/>
      <c r="X58" s="58"/>
      <c r="Y58" s="59"/>
      <c r="Z58" s="59"/>
      <c r="AA58" s="59"/>
      <c r="AB58" s="59"/>
      <c r="AC58" s="59"/>
      <c r="AD58" s="59"/>
      <c r="AE58" s="59"/>
    </row>
    <row r="59" spans="1:31" s="6" customFormat="1" ht="5.15" customHeight="1" thickBot="1" x14ac:dyDescent="0.3">
      <c r="A59" s="2"/>
      <c r="B59" s="2"/>
      <c r="C59" s="65"/>
      <c r="D59" s="57"/>
      <c r="E59" s="66"/>
      <c r="F59" s="57"/>
      <c r="G59" s="57"/>
      <c r="H59" s="67"/>
      <c r="I59" s="2"/>
      <c r="J59" s="2"/>
      <c r="K59" s="67"/>
      <c r="L59" s="67"/>
      <c r="M59" s="67"/>
      <c r="N59" s="65"/>
      <c r="O59" s="57"/>
      <c r="P59" s="57"/>
      <c r="Q59" s="57"/>
      <c r="R59" s="62"/>
      <c r="S59" s="57"/>
      <c r="T59" s="57"/>
      <c r="U59" s="57"/>
      <c r="V59" s="62"/>
      <c r="W59" s="101"/>
      <c r="X59" s="58"/>
      <c r="Y59" s="59"/>
      <c r="Z59" s="59"/>
      <c r="AA59" s="59"/>
      <c r="AB59" s="59"/>
      <c r="AC59" s="59"/>
      <c r="AD59" s="64"/>
      <c r="AE59" s="64"/>
    </row>
    <row r="60" spans="1:31" s="6" customFormat="1" ht="15" customHeight="1" x14ac:dyDescent="0.3">
      <c r="A60" s="322" t="str">
        <f>IF(G12="oui","Contribution d'assistance de l'AI","")</f>
        <v/>
      </c>
      <c r="B60" s="282"/>
      <c r="C60" s="226" t="str">
        <f>IF($G$12="oui",C21,"")</f>
        <v/>
      </c>
      <c r="D60" s="226" t="str">
        <f t="shared" ref="D60:H60" si="50">IF($G$12="oui",D21,"")</f>
        <v/>
      </c>
      <c r="E60" s="226" t="str">
        <f t="shared" si="50"/>
        <v/>
      </c>
      <c r="F60" s="226" t="str">
        <f t="shared" si="50"/>
        <v/>
      </c>
      <c r="G60" s="226" t="str">
        <f t="shared" si="50"/>
        <v/>
      </c>
      <c r="H60" s="227" t="str">
        <f t="shared" si="50"/>
        <v/>
      </c>
      <c r="I60" s="322" t="str">
        <f t="shared" ref="I60:I64" si="51">A60</f>
        <v/>
      </c>
      <c r="J60" s="282"/>
      <c r="K60" s="226" t="str">
        <f>IF($G$12="oui",K21,"")</f>
        <v/>
      </c>
      <c r="L60" s="226" t="str">
        <f t="shared" ref="L60:P60" si="52">IF($G$12="oui",L21,"")</f>
        <v/>
      </c>
      <c r="M60" s="226" t="str">
        <f t="shared" si="52"/>
        <v/>
      </c>
      <c r="N60" s="226" t="str">
        <f t="shared" si="52"/>
        <v/>
      </c>
      <c r="O60" s="226" t="str">
        <f t="shared" si="52"/>
        <v/>
      </c>
      <c r="P60" s="227" t="str">
        <f t="shared" si="52"/>
        <v/>
      </c>
      <c r="Q60" s="230" t="str">
        <f>IF($G$12="Oui","Total","")</f>
        <v/>
      </c>
      <c r="R60" s="62"/>
      <c r="S60" s="62"/>
      <c r="T60" s="62"/>
      <c r="U60" s="62"/>
      <c r="V60" s="62"/>
      <c r="W60" s="102"/>
      <c r="X60" s="63"/>
      <c r="Y60" s="64"/>
      <c r="Z60" s="64"/>
      <c r="AA60" s="64"/>
      <c r="AB60" s="64"/>
      <c r="AC60" s="64"/>
      <c r="AD60" s="64"/>
      <c r="AE60" s="64"/>
    </row>
    <row r="61" spans="1:31" s="2" customFormat="1" ht="15" customHeight="1" x14ac:dyDescent="0.3">
      <c r="A61" s="323" t="str">
        <f>IF(G12="oui","A) Nb. d'heures standard","")</f>
        <v/>
      </c>
      <c r="B61" s="283" t="str">
        <f>IF(G12="oui","h"," ")</f>
        <v xml:space="preserve"> </v>
      </c>
      <c r="C61" s="297" t="str">
        <f>IF($G$12="oui",(IF(DATEDIF($F$7,C$21,"Y")&lt;18,0,C26+C28)),"")</f>
        <v/>
      </c>
      <c r="D61" s="297" t="str">
        <f t="shared" ref="D61:H61" si="53">IF($G$12="oui",(IF(DATEDIF($F$7,D$21,"Y")&lt;18,0,D26+D28)),"")</f>
        <v/>
      </c>
      <c r="E61" s="297" t="str">
        <f t="shared" si="53"/>
        <v/>
      </c>
      <c r="F61" s="297" t="str">
        <f t="shared" si="53"/>
        <v/>
      </c>
      <c r="G61" s="297" t="str">
        <f t="shared" si="53"/>
        <v/>
      </c>
      <c r="H61" s="298" t="str">
        <f t="shared" si="53"/>
        <v/>
      </c>
      <c r="I61" s="324" t="str">
        <f t="shared" si="51"/>
        <v/>
      </c>
      <c r="J61" s="283" t="str">
        <f>B61</f>
        <v xml:space="preserve"> </v>
      </c>
      <c r="K61" s="297" t="str">
        <f>IF($G$12="oui",(IF(DATEDIF($F$7,K$21,"Y")&lt;18,0,K26+K28)),"")</f>
        <v/>
      </c>
      <c r="L61" s="297" t="str">
        <f t="shared" ref="L61:P61" si="54">IF($G$12="oui",(IF(DATEDIF($F$7,L$21,"Y")&lt;18,0,L26+L28)),"")</f>
        <v/>
      </c>
      <c r="M61" s="297" t="str">
        <f t="shared" si="54"/>
        <v/>
      </c>
      <c r="N61" s="297" t="str">
        <f t="shared" si="54"/>
        <v/>
      </c>
      <c r="O61" s="297" t="str">
        <f t="shared" si="54"/>
        <v/>
      </c>
      <c r="P61" s="298" t="str">
        <f t="shared" si="54"/>
        <v/>
      </c>
      <c r="Q61" s="402" t="str">
        <f>IF($G$12="Oui",SUM(C61:H61)+SUM(K61:P61),"")</f>
        <v/>
      </c>
      <c r="R61" s="57"/>
      <c r="S61" s="62"/>
      <c r="T61" s="62"/>
      <c r="U61" s="62"/>
      <c r="V61" s="57"/>
      <c r="W61" s="102"/>
      <c r="X61" s="63"/>
      <c r="Y61" s="64"/>
      <c r="Z61" s="64"/>
      <c r="AA61" s="64"/>
      <c r="AB61" s="64"/>
      <c r="AC61" s="64"/>
      <c r="AD61" s="59"/>
      <c r="AE61" s="59"/>
    </row>
    <row r="62" spans="1:31" s="2" customFormat="1" ht="15" customHeight="1" x14ac:dyDescent="0.25">
      <c r="A62" s="324" t="str">
        <f>IF(G12="oui","B) Nb. d'heures quali B","")</f>
        <v/>
      </c>
      <c r="B62" s="284" t="str">
        <f>IF(G12="oui","h"," ")</f>
        <v xml:space="preserve"> </v>
      </c>
      <c r="C62" s="297"/>
      <c r="D62" s="297"/>
      <c r="E62" s="297"/>
      <c r="F62" s="297"/>
      <c r="G62" s="297"/>
      <c r="H62" s="298"/>
      <c r="I62" s="324" t="str">
        <f t="shared" si="51"/>
        <v/>
      </c>
      <c r="J62" s="284" t="str">
        <f>B62</f>
        <v xml:space="preserve"> </v>
      </c>
      <c r="K62" s="297"/>
      <c r="L62" s="297"/>
      <c r="M62" s="297"/>
      <c r="N62" s="297"/>
      <c r="O62" s="297"/>
      <c r="P62" s="298"/>
      <c r="Q62" s="228" t="str">
        <f>IF($G$12="Oui",SUM(C62:H62)+SUM(K62:P62),"")</f>
        <v/>
      </c>
      <c r="R62" s="57"/>
      <c r="S62" s="57"/>
      <c r="T62" s="57"/>
      <c r="U62" s="57"/>
      <c r="V62" s="57"/>
      <c r="W62" s="101"/>
      <c r="X62" s="58"/>
      <c r="Y62" s="58"/>
      <c r="Z62" s="58"/>
      <c r="AA62" s="58"/>
      <c r="AB62" s="58"/>
      <c r="AC62" s="58"/>
      <c r="AD62" s="58"/>
      <c r="AE62" s="58"/>
    </row>
    <row r="63" spans="1:31" s="2" customFormat="1" ht="15" customHeight="1" x14ac:dyDescent="0.25">
      <c r="A63" s="445" t="str">
        <f>IF($G$12="oui","C) Nb. d'engagements 
de nuit","")</f>
        <v/>
      </c>
      <c r="B63" s="448" t="str">
        <f>IF(G12="oui","Nb."," ")</f>
        <v xml:space="preserve"> </v>
      </c>
      <c r="C63" s="376" t="str">
        <f>IF($G$12="Oui",(IF(DATEDIF($F$7,C$21,"Y")&lt;18,0,C25)),"")</f>
        <v/>
      </c>
      <c r="D63" s="376" t="str">
        <f t="shared" ref="D63:H63" si="55">IF($G$12="Oui",(IF(DATEDIF($F$7,D$21,"Y")&lt;18,0,D25)),"")</f>
        <v/>
      </c>
      <c r="E63" s="376" t="str">
        <f t="shared" si="55"/>
        <v/>
      </c>
      <c r="F63" s="376" t="str">
        <f t="shared" si="55"/>
        <v/>
      </c>
      <c r="G63" s="376" t="str">
        <f t="shared" si="55"/>
        <v/>
      </c>
      <c r="H63" s="377" t="str">
        <f t="shared" si="55"/>
        <v/>
      </c>
      <c r="I63" s="324" t="str">
        <f t="shared" si="51"/>
        <v/>
      </c>
      <c r="J63" s="284" t="str">
        <f>B63</f>
        <v xml:space="preserve"> </v>
      </c>
      <c r="K63" s="376" t="str">
        <f>IF($G$12="Oui",(IF(DATEDIF($F$7,K$21,"Y")&lt;18,0,K25)),"")</f>
        <v/>
      </c>
      <c r="L63" s="376" t="str">
        <f t="shared" ref="L63:P63" si="56">IF($G$12="Oui",(IF(DATEDIF($F$7,L$21,"Y")&lt;18,0,L25)),"")</f>
        <v/>
      </c>
      <c r="M63" s="376" t="str">
        <f t="shared" si="56"/>
        <v/>
      </c>
      <c r="N63" s="376" t="str">
        <f t="shared" si="56"/>
        <v/>
      </c>
      <c r="O63" s="376" t="str">
        <f t="shared" si="56"/>
        <v/>
      </c>
      <c r="P63" s="377" t="str">
        <f t="shared" si="56"/>
        <v/>
      </c>
      <c r="Q63" s="228" t="str">
        <f>IF($G$12="Oui",SUM(C63:H63)+SUM(K63:P63),"")</f>
        <v/>
      </c>
      <c r="R63" s="57"/>
      <c r="S63" s="57"/>
      <c r="T63" s="57"/>
      <c r="U63" s="57"/>
      <c r="V63" s="57"/>
      <c r="W63" s="101"/>
      <c r="X63" s="58"/>
      <c r="Y63" s="58"/>
      <c r="Z63" s="58"/>
      <c r="AA63" s="58"/>
      <c r="AB63" s="58"/>
      <c r="AC63" s="58"/>
      <c r="AD63" s="58"/>
      <c r="AE63" s="58"/>
    </row>
    <row r="64" spans="1:31" s="2" customFormat="1" ht="15" customHeight="1" thickBot="1" x14ac:dyDescent="0.3">
      <c r="A64" s="446" t="str">
        <f>IF(G12="oui","Oblig. de verser le salaire","")</f>
        <v/>
      </c>
      <c r="B64" s="449"/>
      <c r="C64" s="299" t="str">
        <f>IF($G$12="Oui",(IF(DATEDIF($F$7,C$21,"Y")&lt;18,0,(IF(OR(C32&gt;0.1,C33&gt;0.1),"décompter","")))),"")</f>
        <v/>
      </c>
      <c r="D64" s="299" t="str">
        <f t="shared" ref="D64:H64" si="57">IF($G$12="Oui",(IF(DATEDIF($F$7,D$21,"Y")&lt;18,0,(IF(OR(D32&gt;0.1,D33&gt;0.1),"décompter","")))),"")</f>
        <v/>
      </c>
      <c r="E64" s="299" t="str">
        <f t="shared" si="57"/>
        <v/>
      </c>
      <c r="F64" s="299" t="str">
        <f t="shared" si="57"/>
        <v/>
      </c>
      <c r="G64" s="299" t="str">
        <f t="shared" si="57"/>
        <v/>
      </c>
      <c r="H64" s="300" t="str">
        <f t="shared" si="57"/>
        <v/>
      </c>
      <c r="I64" s="325" t="str">
        <f t="shared" si="51"/>
        <v/>
      </c>
      <c r="J64" s="285">
        <f>B64</f>
        <v>0</v>
      </c>
      <c r="K64" s="299" t="str">
        <f>IF($G$12="Oui",(IF(DATEDIF($F$7,K$21,"Y")&lt;18,0,(IF(OR(K32&gt;0.1,K33&gt;0.1),"décompter","")))),"")</f>
        <v/>
      </c>
      <c r="L64" s="299" t="str">
        <f t="shared" ref="L64:P64" si="58">IF($G$12="Oui",(IF(DATEDIF($F$7,L$21,"Y")&lt;18,0,(IF(OR(L32&gt;0.1,L33&gt;0.1),"décompter","")))),"")</f>
        <v/>
      </c>
      <c r="M64" s="299" t="str">
        <f t="shared" si="58"/>
        <v/>
      </c>
      <c r="N64" s="299" t="str">
        <f t="shared" si="58"/>
        <v/>
      </c>
      <c r="O64" s="299" t="str">
        <f t="shared" si="58"/>
        <v/>
      </c>
      <c r="P64" s="300" t="str">
        <f t="shared" si="58"/>
        <v/>
      </c>
      <c r="Q64" s="231" t="str">
        <f>IF($G$12="oui",SUM(C64:H64)+SUM(K64:P64),"")</f>
        <v/>
      </c>
      <c r="R64" s="57"/>
      <c r="S64" s="57"/>
      <c r="T64" s="57"/>
      <c r="U64" s="57"/>
      <c r="V64" s="57"/>
      <c r="W64" s="101"/>
      <c r="X64" s="58"/>
      <c r="Y64" s="58"/>
      <c r="Z64" s="58"/>
      <c r="AA64" s="58"/>
      <c r="AB64" s="58"/>
      <c r="AC64" s="58"/>
      <c r="AD64" s="58"/>
      <c r="AE64" s="58"/>
    </row>
    <row r="65" spans="1:31" s="6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2"/>
      <c r="K65" s="1"/>
      <c r="L65" s="1"/>
      <c r="M65" s="1"/>
      <c r="N65" s="1"/>
      <c r="O65" s="1"/>
      <c r="P65" s="1"/>
      <c r="Q65" s="1"/>
      <c r="R65" s="62"/>
      <c r="S65" s="1"/>
      <c r="T65" s="1"/>
      <c r="U65" s="1"/>
      <c r="V65" s="62"/>
      <c r="W65" s="101"/>
      <c r="X65" s="58"/>
      <c r="Y65" s="58"/>
      <c r="Z65" s="58"/>
      <c r="AA65" s="58"/>
      <c r="AB65" s="58"/>
      <c r="AC65" s="58"/>
      <c r="AD65" s="63"/>
      <c r="AE65" s="63"/>
    </row>
    <row r="66" spans="1:31" s="415" customFormat="1" ht="15" customHeight="1" x14ac:dyDescent="0.25">
      <c r="A66" s="1"/>
      <c r="B66" s="1"/>
      <c r="C66" s="412"/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12"/>
      <c r="Q66" s="412"/>
      <c r="R66" s="413"/>
      <c r="S66" s="412"/>
      <c r="T66" s="412"/>
      <c r="U66" s="412"/>
      <c r="V66" s="413"/>
      <c r="W66" s="429"/>
      <c r="X66" s="414"/>
      <c r="Y66" s="414"/>
      <c r="Z66" s="414"/>
      <c r="AA66" s="414"/>
      <c r="AB66" s="414"/>
      <c r="AC66" s="414"/>
      <c r="AD66" s="414"/>
      <c r="AE66" s="414"/>
    </row>
    <row r="67" spans="1:31" s="412" customFormat="1" ht="15" hidden="1" customHeight="1" x14ac:dyDescent="0.2">
      <c r="A67" s="412" t="s">
        <v>155</v>
      </c>
      <c r="C67" s="424" t="str">
        <f>IF(AND($C$14&lt;=EOMONTH(C$21,0),OR($C$15&gt;=C$21,$C$15=""),$F$17&lt;=C$21),"oui","no")</f>
        <v>no</v>
      </c>
      <c r="D67" s="424" t="str">
        <f t="shared" ref="D67:H67" si="59">IF(AND($C$14&lt;=EOMONTH(D$21,0),OR($C$15&gt;=D$21,$C$15=""),$F$17&lt;=D$21),"oui","no")</f>
        <v>no</v>
      </c>
      <c r="E67" s="424" t="str">
        <f t="shared" si="59"/>
        <v>no</v>
      </c>
      <c r="F67" s="424" t="str">
        <f t="shared" si="59"/>
        <v>no</v>
      </c>
      <c r="G67" s="424" t="str">
        <f t="shared" si="59"/>
        <v>no</v>
      </c>
      <c r="H67" s="424" t="str">
        <f t="shared" si="59"/>
        <v>no</v>
      </c>
      <c r="I67" s="424"/>
      <c r="J67" s="424"/>
      <c r="K67" s="424" t="str">
        <f>IF(AND($C$14&lt;=EOMONTH(K$21,0),OR($C$15&gt;=K$21,$C$15=""),$F$17&lt;=K$21),"oui","no")</f>
        <v>no</v>
      </c>
      <c r="L67" s="424" t="str">
        <f t="shared" ref="L67:P67" si="60">IF(AND($C$14&lt;=EOMONTH(L$21,0),OR($C$15&gt;=L$21,$C$15=""),$F$17&lt;=L$21),"oui","no")</f>
        <v>no</v>
      </c>
      <c r="M67" s="424" t="str">
        <f t="shared" si="60"/>
        <v>no</v>
      </c>
      <c r="N67" s="424" t="str">
        <f t="shared" si="60"/>
        <v>no</v>
      </c>
      <c r="O67" s="424" t="str">
        <f t="shared" si="60"/>
        <v>no</v>
      </c>
      <c r="P67" s="424" t="str">
        <f t="shared" si="60"/>
        <v>no</v>
      </c>
      <c r="X67" s="416"/>
      <c r="Y67" s="416"/>
      <c r="Z67" s="416"/>
      <c r="AA67" s="416"/>
      <c r="AB67" s="416"/>
      <c r="AC67" s="416"/>
      <c r="AD67" s="416"/>
      <c r="AE67" s="416"/>
    </row>
    <row r="68" spans="1:31" s="412" customFormat="1" ht="10" hidden="1" x14ac:dyDescent="0.2">
      <c r="X68" s="416"/>
      <c r="Y68" s="416"/>
      <c r="Z68" s="416"/>
      <c r="AA68" s="416"/>
      <c r="AB68" s="416"/>
      <c r="AC68" s="416"/>
      <c r="AD68" s="416"/>
      <c r="AE68" s="416"/>
    </row>
    <row r="69" spans="1:31" s="412" customFormat="1" ht="10.5" hidden="1" x14ac:dyDescent="0.25">
      <c r="A69" s="417"/>
      <c r="C69" s="418">
        <f>C$21</f>
        <v>46023</v>
      </c>
      <c r="D69" s="418">
        <f t="shared" ref="D69:H69" si="61">D$21</f>
        <v>46054</v>
      </c>
      <c r="E69" s="418">
        <f t="shared" si="61"/>
        <v>46082</v>
      </c>
      <c r="F69" s="418">
        <f t="shared" si="61"/>
        <v>46113</v>
      </c>
      <c r="G69" s="418">
        <f t="shared" si="61"/>
        <v>46143</v>
      </c>
      <c r="H69" s="418">
        <f t="shared" si="61"/>
        <v>46174</v>
      </c>
      <c r="K69" s="418">
        <f>K$21</f>
        <v>46204</v>
      </c>
      <c r="L69" s="418">
        <f t="shared" ref="L69:P69" si="62">L$21</f>
        <v>46235</v>
      </c>
      <c r="M69" s="418">
        <f t="shared" si="62"/>
        <v>46266</v>
      </c>
      <c r="N69" s="418">
        <f t="shared" si="62"/>
        <v>46296</v>
      </c>
      <c r="O69" s="418">
        <f t="shared" si="62"/>
        <v>46327</v>
      </c>
      <c r="P69" s="418">
        <f t="shared" si="62"/>
        <v>46357</v>
      </c>
      <c r="X69" s="416"/>
      <c r="Y69" s="416"/>
      <c r="Z69" s="416"/>
      <c r="AA69" s="416"/>
      <c r="AB69" s="416"/>
      <c r="AC69" s="416"/>
      <c r="AD69" s="416"/>
      <c r="AE69" s="416"/>
    </row>
    <row r="70" spans="1:31" s="412" customFormat="1" ht="10.5" hidden="1" x14ac:dyDescent="0.25">
      <c r="A70" s="419" t="s">
        <v>156</v>
      </c>
      <c r="C70" s="419">
        <f t="shared" ref="C70:H70" si="63">IF($C$16="Salaire horaire",SUM(C$27,C$29,C$30,C$31,C$32,C$33,C$34),SUM(C$22,C$23,C$30,C$31,C$32,C$33,C$34))</f>
        <v>0</v>
      </c>
      <c r="D70" s="419">
        <f t="shared" si="63"/>
        <v>0</v>
      </c>
      <c r="E70" s="419">
        <f t="shared" si="63"/>
        <v>0</v>
      </c>
      <c r="F70" s="419">
        <f t="shared" si="63"/>
        <v>0</v>
      </c>
      <c r="G70" s="419">
        <f t="shared" si="63"/>
        <v>0</v>
      </c>
      <c r="H70" s="419">
        <f t="shared" si="63"/>
        <v>0</v>
      </c>
      <c r="K70" s="419">
        <f t="shared" ref="K70:P70" si="64">IF($C$16="Salaire horaire",SUM(K$27,K$29,K$30,K$31,K$32,K$33,K$34),SUM(K$22,K$23,K$30,K$31,K$32,K$33,K$34))</f>
        <v>0</v>
      </c>
      <c r="L70" s="419">
        <f t="shared" si="64"/>
        <v>0</v>
      </c>
      <c r="M70" s="419">
        <f t="shared" si="64"/>
        <v>0</v>
      </c>
      <c r="N70" s="419">
        <f t="shared" si="64"/>
        <v>0</v>
      </c>
      <c r="O70" s="419">
        <f t="shared" si="64"/>
        <v>0</v>
      </c>
      <c r="P70" s="419">
        <f t="shared" si="64"/>
        <v>0</v>
      </c>
      <c r="X70" s="416"/>
      <c r="Y70" s="416"/>
      <c r="Z70" s="416"/>
      <c r="AA70" s="416"/>
      <c r="AB70" s="416"/>
      <c r="AC70" s="416"/>
      <c r="AD70" s="416"/>
      <c r="AE70" s="416"/>
    </row>
    <row r="71" spans="1:31" s="412" customFormat="1" ht="10.5" hidden="1" x14ac:dyDescent="0.25">
      <c r="A71" s="419" t="s">
        <v>157</v>
      </c>
      <c r="C71" s="419">
        <f>IF(C$73=0,0,C$70)</f>
        <v>0</v>
      </c>
      <c r="D71" s="419">
        <f>IF(D$73=0,0,D$70+C$71)</f>
        <v>0</v>
      </c>
      <c r="E71" s="419">
        <f t="shared" ref="E71:G71" si="65">IF(E$73=0,0,E$70+D$71)</f>
        <v>0</v>
      </c>
      <c r="F71" s="419">
        <f t="shared" si="65"/>
        <v>0</v>
      </c>
      <c r="G71" s="419">
        <f t="shared" si="65"/>
        <v>0</v>
      </c>
      <c r="H71" s="419">
        <f>IF(H$73=0,0,H$70+G$71)</f>
        <v>0</v>
      </c>
      <c r="K71" s="419">
        <f>IF(K$73=0,0,K$70+H$71)</f>
        <v>0</v>
      </c>
      <c r="L71" s="419">
        <f>IF(L$73=0,0,L$70+K$71)</f>
        <v>0</v>
      </c>
      <c r="M71" s="419">
        <f t="shared" ref="M71:P71" si="66">IF(M$73=0,0,M$70+L$71)</f>
        <v>0</v>
      </c>
      <c r="N71" s="419">
        <f t="shared" si="66"/>
        <v>0</v>
      </c>
      <c r="O71" s="419">
        <f t="shared" si="66"/>
        <v>0</v>
      </c>
      <c r="P71" s="419">
        <f t="shared" si="66"/>
        <v>0</v>
      </c>
      <c r="X71" s="416"/>
      <c r="Y71" s="416"/>
      <c r="Z71" s="416"/>
      <c r="AA71" s="416"/>
      <c r="AB71" s="416"/>
      <c r="AC71" s="416"/>
      <c r="AD71" s="416"/>
      <c r="AE71" s="416"/>
    </row>
    <row r="72" spans="1:31" s="412" customFormat="1" ht="10.5" hidden="1" x14ac:dyDescent="0.25">
      <c r="A72" s="419"/>
      <c r="C72" s="419"/>
      <c r="D72" s="419"/>
      <c r="E72" s="419"/>
      <c r="F72" s="419"/>
      <c r="G72" s="419"/>
      <c r="H72" s="419"/>
      <c r="K72" s="419"/>
      <c r="L72" s="419"/>
      <c r="M72" s="419"/>
      <c r="N72" s="419"/>
      <c r="O72" s="419"/>
      <c r="P72" s="419"/>
      <c r="X72" s="416"/>
      <c r="Y72" s="416"/>
      <c r="Z72" s="416"/>
      <c r="AA72" s="416"/>
      <c r="AB72" s="416"/>
      <c r="AC72" s="416"/>
      <c r="AD72" s="416"/>
      <c r="AE72" s="416"/>
    </row>
    <row r="73" spans="1:31" s="412" customFormat="1" ht="10.5" hidden="1" x14ac:dyDescent="0.25">
      <c r="A73" s="419" t="s">
        <v>6</v>
      </c>
      <c r="C73" s="419">
        <f>IF(C$67="oui",Grundlagen!$B$7,0)</f>
        <v>0</v>
      </c>
      <c r="D73" s="419">
        <f>IF(D$67="oui",Grundlagen!$B$7,0)</f>
        <v>0</v>
      </c>
      <c r="E73" s="419">
        <f>IF(E$67="oui",Grundlagen!$B$7,0)</f>
        <v>0</v>
      </c>
      <c r="F73" s="419">
        <f>IF(F$67="oui",Grundlagen!$B$7,0)</f>
        <v>0</v>
      </c>
      <c r="G73" s="419">
        <f>IF(G$67="oui",Grundlagen!$B$7,0)</f>
        <v>0</v>
      </c>
      <c r="H73" s="419">
        <f>IF(H$67="oui",Grundlagen!$B$7,0)</f>
        <v>0</v>
      </c>
      <c r="K73" s="419">
        <f>IF(K$67="oui",Grundlagen!$B$7,0)</f>
        <v>0</v>
      </c>
      <c r="L73" s="419">
        <f>IF(L$67="oui",Grundlagen!$B$7,0)</f>
        <v>0</v>
      </c>
      <c r="M73" s="419">
        <f>IF(M$67="oui",Grundlagen!$B$7,0)</f>
        <v>0</v>
      </c>
      <c r="N73" s="419">
        <f>IF(N$67="oui",Grundlagen!$B$7,0)</f>
        <v>0</v>
      </c>
      <c r="O73" s="419">
        <f>IF(O$67="oui",Grundlagen!$B$7,0)</f>
        <v>0</v>
      </c>
      <c r="P73" s="419">
        <f>IF(P$67="oui",Grundlagen!$B$7,0)</f>
        <v>0</v>
      </c>
      <c r="X73" s="416"/>
      <c r="Y73" s="416"/>
      <c r="Z73" s="416"/>
      <c r="AA73" s="416"/>
      <c r="AB73" s="416"/>
      <c r="AC73" s="416"/>
      <c r="AD73" s="416"/>
      <c r="AE73" s="416"/>
    </row>
    <row r="74" spans="1:31" s="412" customFormat="1" ht="10.5" hidden="1" x14ac:dyDescent="0.25">
      <c r="A74" s="419" t="s">
        <v>158</v>
      </c>
      <c r="C74" s="419">
        <f>C$73</f>
        <v>0</v>
      </c>
      <c r="D74" s="419">
        <f>C$74+D$73</f>
        <v>0</v>
      </c>
      <c r="E74" s="419">
        <f t="shared" ref="E74:H74" si="67">D$74+E$73</f>
        <v>0</v>
      </c>
      <c r="F74" s="419">
        <f t="shared" si="67"/>
        <v>0</v>
      </c>
      <c r="G74" s="419">
        <f t="shared" si="67"/>
        <v>0</v>
      </c>
      <c r="H74" s="419">
        <f t="shared" si="67"/>
        <v>0</v>
      </c>
      <c r="K74" s="419">
        <f>H$74+K$73</f>
        <v>0</v>
      </c>
      <c r="L74" s="419">
        <f>K$74+L$73</f>
        <v>0</v>
      </c>
      <c r="M74" s="419">
        <f t="shared" ref="M74:P74" si="68">L$74+M$73</f>
        <v>0</v>
      </c>
      <c r="N74" s="419">
        <f t="shared" si="68"/>
        <v>0</v>
      </c>
      <c r="O74" s="419">
        <f t="shared" si="68"/>
        <v>0</v>
      </c>
      <c r="P74" s="419">
        <f t="shared" si="68"/>
        <v>0</v>
      </c>
      <c r="X74" s="416"/>
      <c r="Y74" s="416"/>
      <c r="Z74" s="416"/>
      <c r="AA74" s="416"/>
      <c r="AB74" s="416"/>
      <c r="AC74" s="416"/>
      <c r="AD74" s="416"/>
      <c r="AE74" s="416"/>
    </row>
    <row r="75" spans="1:31" s="412" customFormat="1" ht="10.5" hidden="1" x14ac:dyDescent="0.25">
      <c r="A75" s="419"/>
      <c r="C75" s="419"/>
      <c r="D75" s="419"/>
      <c r="E75" s="419"/>
      <c r="F75" s="419"/>
      <c r="G75" s="419"/>
      <c r="H75" s="419"/>
      <c r="K75" s="419"/>
      <c r="L75" s="419"/>
      <c r="M75" s="419"/>
      <c r="N75" s="419"/>
      <c r="O75" s="419"/>
      <c r="P75" s="419"/>
      <c r="X75" s="416"/>
      <c r="Y75" s="416"/>
      <c r="Z75" s="416"/>
      <c r="AA75" s="416"/>
      <c r="AB75" s="416"/>
      <c r="AC75" s="416"/>
      <c r="AD75" s="416"/>
      <c r="AE75" s="416"/>
    </row>
    <row r="76" spans="1:31" s="412" customFormat="1" ht="10.5" hidden="1" x14ac:dyDescent="0.25">
      <c r="A76" s="419" t="s">
        <v>159</v>
      </c>
      <c r="C76" s="419">
        <f>IF(C$71&gt;C$74,C$71-C$74,0)</f>
        <v>0</v>
      </c>
      <c r="D76" s="419">
        <f t="shared" ref="D76:H76" si="69">IF(D$71&gt;D$74,D$71-D$74,0)</f>
        <v>0</v>
      </c>
      <c r="E76" s="419">
        <f t="shared" si="69"/>
        <v>0</v>
      </c>
      <c r="F76" s="419">
        <f t="shared" si="69"/>
        <v>0</v>
      </c>
      <c r="G76" s="419">
        <f t="shared" si="69"/>
        <v>0</v>
      </c>
      <c r="H76" s="419">
        <f t="shared" si="69"/>
        <v>0</v>
      </c>
      <c r="K76" s="419">
        <f>IF(K$71&gt;K$74,K$71-K$74,0)</f>
        <v>0</v>
      </c>
      <c r="L76" s="419">
        <f t="shared" ref="L76:P76" si="70">IF(L$71&gt;L$74,L$71-L$74,0)</f>
        <v>0</v>
      </c>
      <c r="M76" s="419">
        <f t="shared" si="70"/>
        <v>0</v>
      </c>
      <c r="N76" s="419">
        <f t="shared" si="70"/>
        <v>0</v>
      </c>
      <c r="O76" s="419">
        <f t="shared" si="70"/>
        <v>0</v>
      </c>
      <c r="P76" s="419">
        <f t="shared" si="70"/>
        <v>0</v>
      </c>
      <c r="X76" s="416"/>
      <c r="Y76" s="416"/>
      <c r="Z76" s="416"/>
      <c r="AA76" s="416"/>
      <c r="AB76" s="416"/>
      <c r="AC76" s="416"/>
      <c r="AD76" s="416"/>
      <c r="AE76" s="416"/>
    </row>
    <row r="77" spans="1:31" s="412" customFormat="1" ht="10.5" hidden="1" x14ac:dyDescent="0.25">
      <c r="A77" s="419" t="s">
        <v>160</v>
      </c>
      <c r="C77" s="419">
        <f>C$79</f>
        <v>0</v>
      </c>
      <c r="D77" s="419">
        <f>C$77+D$79</f>
        <v>0</v>
      </c>
      <c r="E77" s="419">
        <f t="shared" ref="E77:H77" si="71">D$77+E$79</f>
        <v>0</v>
      </c>
      <c r="F77" s="419">
        <f t="shared" si="71"/>
        <v>0</v>
      </c>
      <c r="G77" s="419">
        <f t="shared" si="71"/>
        <v>0</v>
      </c>
      <c r="H77" s="419">
        <f t="shared" si="71"/>
        <v>0</v>
      </c>
      <c r="K77" s="419">
        <f>H$77+K$79</f>
        <v>0</v>
      </c>
      <c r="L77" s="419">
        <f>K$77+L$79</f>
        <v>0</v>
      </c>
      <c r="M77" s="419">
        <f t="shared" ref="M77:P77" si="72">L$77+M$79</f>
        <v>0</v>
      </c>
      <c r="N77" s="419">
        <f t="shared" si="72"/>
        <v>0</v>
      </c>
      <c r="O77" s="419">
        <f t="shared" si="72"/>
        <v>0</v>
      </c>
      <c r="P77" s="419">
        <f t="shared" si="72"/>
        <v>0</v>
      </c>
      <c r="X77" s="416"/>
      <c r="Y77" s="416"/>
      <c r="Z77" s="416"/>
      <c r="AA77" s="416"/>
      <c r="AB77" s="416"/>
      <c r="AC77" s="416"/>
      <c r="AD77" s="416"/>
      <c r="AE77" s="416"/>
    </row>
    <row r="78" spans="1:31" s="412" customFormat="1" ht="10.5" hidden="1" x14ac:dyDescent="0.25">
      <c r="A78" s="419"/>
      <c r="C78" s="419"/>
      <c r="D78" s="419"/>
      <c r="E78" s="419"/>
      <c r="F78" s="419"/>
      <c r="G78" s="419"/>
      <c r="H78" s="419"/>
      <c r="K78" s="419"/>
      <c r="L78" s="419"/>
      <c r="M78" s="419"/>
      <c r="N78" s="419"/>
      <c r="O78" s="419"/>
      <c r="P78" s="419"/>
      <c r="X78" s="416"/>
      <c r="Y78" s="416"/>
      <c r="Z78" s="416"/>
      <c r="AA78" s="416"/>
      <c r="AB78" s="416"/>
      <c r="AC78" s="416"/>
      <c r="AD78" s="416"/>
      <c r="AE78" s="416"/>
    </row>
    <row r="79" spans="1:31" s="412" customFormat="1" ht="10.5" hidden="1" x14ac:dyDescent="0.25">
      <c r="A79" s="420" t="s">
        <v>161</v>
      </c>
      <c r="C79" s="419">
        <f>IF(C$70=0,0,C$76)</f>
        <v>0</v>
      </c>
      <c r="D79" s="420">
        <f>IF(D$70=0,0,D$76-C$77)</f>
        <v>0</v>
      </c>
      <c r="E79" s="420">
        <f t="shared" ref="E79:H79" si="73">IF(E$70=0,0,E$76-D$77)</f>
        <v>0</v>
      </c>
      <c r="F79" s="420">
        <f t="shared" si="73"/>
        <v>0</v>
      </c>
      <c r="G79" s="420">
        <f t="shared" si="73"/>
        <v>0</v>
      </c>
      <c r="H79" s="420">
        <f t="shared" si="73"/>
        <v>0</v>
      </c>
      <c r="K79" s="420">
        <f>IF(K$70=0,0,K$76-H$77)</f>
        <v>0</v>
      </c>
      <c r="L79" s="420">
        <f t="shared" ref="L79:P79" si="74">IF(L$70=0,0,L$76-K$77)</f>
        <v>0</v>
      </c>
      <c r="M79" s="420">
        <f t="shared" si="74"/>
        <v>0</v>
      </c>
      <c r="N79" s="420">
        <f t="shared" si="74"/>
        <v>0</v>
      </c>
      <c r="O79" s="420">
        <f t="shared" si="74"/>
        <v>0</v>
      </c>
      <c r="P79" s="420">
        <f t="shared" si="74"/>
        <v>0</v>
      </c>
      <c r="X79" s="416"/>
      <c r="Y79" s="416"/>
      <c r="Z79" s="416"/>
      <c r="AA79" s="416"/>
      <c r="AB79" s="416"/>
      <c r="AC79" s="416"/>
      <c r="AD79" s="416"/>
      <c r="AE79" s="416"/>
    </row>
    <row r="80" spans="1:31" s="412" customFormat="1" ht="10.5" hidden="1" x14ac:dyDescent="0.25">
      <c r="A80" s="421" t="s">
        <v>6</v>
      </c>
      <c r="C80" s="421">
        <f>ROUND((IF(C$73=0,0,C$79-C$70)*-1)/5,2)*5</f>
        <v>0</v>
      </c>
      <c r="D80" s="421">
        <f>ROUND((IF(D$73=0,0,D$79-D$70)*-1)/5,2)*5</f>
        <v>0</v>
      </c>
      <c r="E80" s="421">
        <f t="shared" ref="E80:H80" si="75">ROUND((IF(E$73=0,0,E$79-E$70)*-1)/5,2)*5</f>
        <v>0</v>
      </c>
      <c r="F80" s="421">
        <f t="shared" si="75"/>
        <v>0</v>
      </c>
      <c r="G80" s="421">
        <f t="shared" si="75"/>
        <v>0</v>
      </c>
      <c r="H80" s="421">
        <f t="shared" si="75"/>
        <v>0</v>
      </c>
      <c r="K80" s="421">
        <f t="shared" ref="K80:P80" si="76">ROUND((IF(K$73=0,0,K$79-K$70)*-1)/5,2)*5</f>
        <v>0</v>
      </c>
      <c r="L80" s="421">
        <f t="shared" si="76"/>
        <v>0</v>
      </c>
      <c r="M80" s="421">
        <f t="shared" si="76"/>
        <v>0</v>
      </c>
      <c r="N80" s="421">
        <f t="shared" si="76"/>
        <v>0</v>
      </c>
      <c r="O80" s="421">
        <f t="shared" si="76"/>
        <v>0</v>
      </c>
      <c r="P80" s="421">
        <f t="shared" si="76"/>
        <v>0</v>
      </c>
      <c r="X80" s="416"/>
      <c r="Y80" s="416"/>
      <c r="Z80" s="416"/>
      <c r="AA80" s="416"/>
      <c r="AB80" s="416"/>
      <c r="AC80" s="416"/>
      <c r="AD80" s="416"/>
      <c r="AE80" s="416"/>
    </row>
    <row r="81" spans="1:31" s="412" customFormat="1" ht="10.5" hidden="1" x14ac:dyDescent="0.25">
      <c r="A81" s="420" t="s">
        <v>162</v>
      </c>
      <c r="C81" s="419">
        <f t="shared" ref="C81:H81" si="77">IF(C$67="oui",0,C$39)</f>
        <v>0</v>
      </c>
      <c r="D81" s="419">
        <f t="shared" si="77"/>
        <v>0</v>
      </c>
      <c r="E81" s="419">
        <f t="shared" si="77"/>
        <v>0</v>
      </c>
      <c r="F81" s="419">
        <f t="shared" si="77"/>
        <v>0</v>
      </c>
      <c r="G81" s="419">
        <f t="shared" si="77"/>
        <v>0</v>
      </c>
      <c r="H81" s="419">
        <f t="shared" si="77"/>
        <v>0</v>
      </c>
      <c r="K81" s="419">
        <f t="shared" ref="K81:P81" si="78">IF(K$67="oui",0,K$39)</f>
        <v>0</v>
      </c>
      <c r="L81" s="419">
        <f t="shared" si="78"/>
        <v>0</v>
      </c>
      <c r="M81" s="419">
        <f t="shared" si="78"/>
        <v>0</v>
      </c>
      <c r="N81" s="419">
        <f t="shared" si="78"/>
        <v>0</v>
      </c>
      <c r="O81" s="419">
        <f t="shared" si="78"/>
        <v>0</v>
      </c>
      <c r="P81" s="419">
        <f t="shared" si="78"/>
        <v>0</v>
      </c>
      <c r="Q81" s="430">
        <f>SUM(C81:P81)</f>
        <v>0</v>
      </c>
      <c r="X81" s="416"/>
      <c r="Y81" s="416"/>
      <c r="Z81" s="416"/>
      <c r="AA81" s="416"/>
      <c r="AB81" s="416"/>
      <c r="AC81" s="416"/>
      <c r="AD81" s="416"/>
      <c r="AE81" s="416"/>
    </row>
    <row r="82" spans="1:31" s="412" customFormat="1" ht="10" x14ac:dyDescent="0.2">
      <c r="X82" s="416"/>
      <c r="Y82" s="416"/>
      <c r="Z82" s="416"/>
      <c r="AA82" s="416"/>
      <c r="AB82" s="416"/>
      <c r="AC82" s="416"/>
      <c r="AD82" s="416"/>
      <c r="AE82" s="416"/>
    </row>
    <row r="83" spans="1:31" s="412" customFormat="1" ht="10" x14ac:dyDescent="0.2">
      <c r="X83" s="416"/>
      <c r="Y83" s="416"/>
      <c r="Z83" s="416"/>
      <c r="AA83" s="416"/>
      <c r="AB83" s="416"/>
      <c r="AC83" s="416"/>
      <c r="AD83" s="416"/>
      <c r="AE83" s="416"/>
    </row>
  </sheetData>
  <sheetProtection algorithmName="SHA-512" hashValue="Xp3EPBKxDtDRpZRmKYCTI16Z6PYLDi7zoP5OaxXCMxE89d+Jc4tUd8se+XVprU866GJ+i9GMBzL9x8d+gP2Q5w==" saltValue="rdCAaAB1Fz/R0diXhdjdZA==" spinCount="100000" sheet="1" objects="1" scenarios="1"/>
  <mergeCells count="48">
    <mergeCell ref="K52:K53"/>
    <mergeCell ref="C52:C53"/>
    <mergeCell ref="L52:L53"/>
    <mergeCell ref="D52:D53"/>
    <mergeCell ref="E52:E53"/>
    <mergeCell ref="F52:F53"/>
    <mergeCell ref="G52:G53"/>
    <mergeCell ref="H52:H53"/>
    <mergeCell ref="F14:G14"/>
    <mergeCell ref="F15:G15"/>
    <mergeCell ref="F16:G16"/>
    <mergeCell ref="S18:U18"/>
    <mergeCell ref="S20:U22"/>
    <mergeCell ref="C7:D7"/>
    <mergeCell ref="F7:G7"/>
    <mergeCell ref="C8:D8"/>
    <mergeCell ref="F8:G8"/>
    <mergeCell ref="C9:D9"/>
    <mergeCell ref="F9:G9"/>
    <mergeCell ref="P1:Q3"/>
    <mergeCell ref="A2:C2"/>
    <mergeCell ref="I2:K2"/>
    <mergeCell ref="Y2:Y5"/>
    <mergeCell ref="AA2:AA5"/>
    <mergeCell ref="S4:T4"/>
    <mergeCell ref="X4:X5"/>
    <mergeCell ref="Z4:Z5"/>
    <mergeCell ref="A1:C1"/>
    <mergeCell ref="D1:F2"/>
    <mergeCell ref="G1:H3"/>
    <mergeCell ref="I1:K1"/>
    <mergeCell ref="L1:N2"/>
    <mergeCell ref="AB4:AB5"/>
    <mergeCell ref="AC4:AC5"/>
    <mergeCell ref="AD4:AD5"/>
    <mergeCell ref="AH4:AI5"/>
    <mergeCell ref="C6:D6"/>
    <mergeCell ref="F6:G6"/>
    <mergeCell ref="M52:M53"/>
    <mergeCell ref="N52:N53"/>
    <mergeCell ref="O52:O53"/>
    <mergeCell ref="P52:P53"/>
    <mergeCell ref="S24:U26"/>
    <mergeCell ref="S28:U30"/>
    <mergeCell ref="S31:U32"/>
    <mergeCell ref="S33:U35"/>
    <mergeCell ref="S36:U40"/>
    <mergeCell ref="S41:U43"/>
  </mergeCells>
  <conditionalFormatting sqref="A25">
    <cfRule type="beginsWith" dxfId="445" priority="40" operator="beginsWith" text="Nom">
      <formula>LEFT(A25,LEN("Nom"))="Nom"</formula>
    </cfRule>
  </conditionalFormatting>
  <conditionalFormatting sqref="A26">
    <cfRule type="containsText" dxfId="444" priority="14" operator="containsText" text="Nombre d'heures">
      <formula>NOT(ISERROR(SEARCH("Nombre d'heures",A26)))</formula>
    </cfRule>
  </conditionalFormatting>
  <conditionalFormatting sqref="A28">
    <cfRule type="containsText" dxfId="443" priority="42" operator="containsText" text="Nombre d'heures II">
      <formula>NOT(ISERROR(SEARCH("Nombre d'heures II",A28)))</formula>
    </cfRule>
  </conditionalFormatting>
  <conditionalFormatting sqref="A24:B24">
    <cfRule type="expression" dxfId="442" priority="39">
      <formula>$G$11="oui"</formula>
    </cfRule>
  </conditionalFormatting>
  <conditionalFormatting sqref="A25:B25">
    <cfRule type="expression" dxfId="441" priority="37">
      <formula>$P$10&gt;0.1</formula>
    </cfRule>
  </conditionalFormatting>
  <conditionalFormatting sqref="A50:B50">
    <cfRule type="expression" dxfId="440" priority="38">
      <formula>$G$11="ja"</formula>
    </cfRule>
  </conditionalFormatting>
  <conditionalFormatting sqref="A60:B64">
    <cfRule type="expression" dxfId="439" priority="33">
      <formula>$G$12="non"</formula>
    </cfRule>
  </conditionalFormatting>
  <conditionalFormatting sqref="B25">
    <cfRule type="beginsWith" dxfId="438" priority="34" operator="beginsWith" text="Nb">
      <formula>LEFT(B25,LEN("Nb"))="Nb"</formula>
    </cfRule>
  </conditionalFormatting>
  <conditionalFormatting sqref="B26">
    <cfRule type="containsText" dxfId="437" priority="13" operator="containsText" text="h">
      <formula>NOT(ISERROR(SEARCH("h",B26)))</formula>
    </cfRule>
  </conditionalFormatting>
  <conditionalFormatting sqref="B28">
    <cfRule type="containsText" dxfId="436" priority="35" operator="containsText" text="h">
      <formula>NOT(ISERROR(SEARCH("h",B28)))</formula>
    </cfRule>
  </conditionalFormatting>
  <conditionalFormatting sqref="C17">
    <cfRule type="expression" dxfId="435" priority="89">
      <formula>$A$17="13ème salaire"</formula>
    </cfRule>
  </conditionalFormatting>
  <conditionalFormatting sqref="C22:H22">
    <cfRule type="cellIs" dxfId="434" priority="26" operator="greaterThan">
      <formula>1</formula>
    </cfRule>
  </conditionalFormatting>
  <conditionalFormatting sqref="C23:H23 K23:P23">
    <cfRule type="expression" dxfId="433" priority="54">
      <formula>$B$23="CHF"</formula>
    </cfRule>
  </conditionalFormatting>
  <conditionalFormatting sqref="C24:H24 K24:P24">
    <cfRule type="expression" dxfId="432" priority="79">
      <formula>$G$11="ja"</formula>
    </cfRule>
  </conditionalFormatting>
  <conditionalFormatting sqref="C25:H25 K25:P25">
    <cfRule type="expression" dxfId="431" priority="65">
      <formula>$B$25="Anz."</formula>
    </cfRule>
  </conditionalFormatting>
  <conditionalFormatting sqref="C26:H26">
    <cfRule type="expression" dxfId="430" priority="16">
      <formula>$G$12="oui"</formula>
    </cfRule>
    <cfRule type="expression" dxfId="429" priority="17">
      <formula>$C$16="Salaire horaire"</formula>
    </cfRule>
  </conditionalFormatting>
  <conditionalFormatting sqref="C28:H28 K28:P28">
    <cfRule type="expression" dxfId="428" priority="80">
      <formula>$G$10="Ja"</formula>
    </cfRule>
  </conditionalFormatting>
  <conditionalFormatting sqref="C50:H50">
    <cfRule type="expression" dxfId="427" priority="72">
      <formula>C51&lt;-0.01</formula>
    </cfRule>
    <cfRule type="expression" dxfId="426" priority="71">
      <formula>C51&gt;0.01</formula>
    </cfRule>
  </conditionalFormatting>
  <conditionalFormatting sqref="C51:H51">
    <cfRule type="cellIs" dxfId="425" priority="76" operator="greaterThan">
      <formula>0.04</formula>
    </cfRule>
    <cfRule type="cellIs" dxfId="424" priority="75" operator="lessThan">
      <formula>-0.04</formula>
    </cfRule>
  </conditionalFormatting>
  <conditionalFormatting sqref="C60:Q63 C64:P64">
    <cfRule type="expression" dxfId="423" priority="68">
      <formula>$G$12="nein"</formula>
    </cfRule>
  </conditionalFormatting>
  <conditionalFormatting sqref="G1">
    <cfRule type="containsText" dxfId="422" priority="123" operator="containsText" text="Achtung Fehler">
      <formula>NOT(ISERROR(SEARCH("Achtung Fehler",G1)))</formula>
    </cfRule>
  </conditionalFormatting>
  <conditionalFormatting sqref="G10">
    <cfRule type="expression" dxfId="421" priority="58">
      <formula>$C$16="Salaire horaire"</formula>
    </cfRule>
  </conditionalFormatting>
  <conditionalFormatting sqref="H17:H18">
    <cfRule type="beginsWith" dxfId="420" priority="50" operator="beginsWith" text="ATT">
      <formula>LEFT(H17,LEN("ATT"))="ATT"</formula>
    </cfRule>
  </conditionalFormatting>
  <conditionalFormatting sqref="I25">
    <cfRule type="beginsWith" dxfId="419" priority="56" operator="beginsWith" text="Nom">
      <formula>LEFT(I25,LEN("Nom"))="Nom"</formula>
    </cfRule>
  </conditionalFormatting>
  <conditionalFormatting sqref="I26">
    <cfRule type="containsText" dxfId="418" priority="19" operator="containsText" text="Nombre d'heures">
      <formula>NOT(ISERROR(SEARCH("Nombre d'heures",I26)))</formula>
    </cfRule>
  </conditionalFormatting>
  <conditionalFormatting sqref="I28">
    <cfRule type="containsText" dxfId="417" priority="64" operator="containsText" text="Nombre d'heures II">
      <formula>NOT(ISERROR(SEARCH("Nombre d'heures II",I28)))</formula>
    </cfRule>
  </conditionalFormatting>
  <conditionalFormatting sqref="I24:J24">
    <cfRule type="expression" dxfId="416" priority="67">
      <formula>$G$11="oui"</formula>
    </cfRule>
  </conditionalFormatting>
  <conditionalFormatting sqref="I25:J25">
    <cfRule type="expression" dxfId="415" priority="57">
      <formula>$P$10&gt;0.1</formula>
    </cfRule>
  </conditionalFormatting>
  <conditionalFormatting sqref="I50:J50">
    <cfRule type="expression" dxfId="414" priority="66">
      <formula>$G$11="ja"</formula>
    </cfRule>
  </conditionalFormatting>
  <conditionalFormatting sqref="J25">
    <cfRule type="beginsWith" dxfId="413" priority="55" operator="beginsWith" text="Anz">
      <formula>LEFT(J25,LEN("Anz"))="Anz"</formula>
    </cfRule>
  </conditionalFormatting>
  <conditionalFormatting sqref="J26">
    <cfRule type="containsText" dxfId="412" priority="18" operator="containsText" text="h">
      <formula>NOT(ISERROR(SEARCH("h",J26)))</formula>
    </cfRule>
  </conditionalFormatting>
  <conditionalFormatting sqref="J28">
    <cfRule type="containsText" dxfId="411" priority="59" operator="containsText" text="Std.">
      <formula>NOT(ISERROR(SEARCH("Std.",J28)))</formula>
    </cfRule>
    <cfRule type="containsText" dxfId="410" priority="60" operator="containsText" text="Std.">
      <formula>NOT(ISERROR(SEARCH("Std.",J28)))</formula>
    </cfRule>
    <cfRule type="containsText" dxfId="409" priority="61" operator="containsText" text="Std.">
      <formula>NOT(ISERROR(SEARCH("Std.",J28)))</formula>
    </cfRule>
  </conditionalFormatting>
  <conditionalFormatting sqref="K22:P22">
    <cfRule type="cellIs" dxfId="408" priority="27" operator="greaterThan">
      <formula>1</formula>
    </cfRule>
  </conditionalFormatting>
  <conditionalFormatting sqref="K26:P26">
    <cfRule type="expression" dxfId="407" priority="20">
      <formula>$G$12="oui"</formula>
    </cfRule>
    <cfRule type="expression" dxfId="406" priority="21">
      <formula>$C$16="Salaire horaire"</formula>
    </cfRule>
  </conditionalFormatting>
  <conditionalFormatting sqref="K50:P50">
    <cfRule type="expression" dxfId="405" priority="69">
      <formula>K51&gt;0.01</formula>
    </cfRule>
    <cfRule type="expression" dxfId="404" priority="70">
      <formula>K51&lt;-0.01</formula>
    </cfRule>
  </conditionalFormatting>
  <conditionalFormatting sqref="K51:P51">
    <cfRule type="cellIs" dxfId="403" priority="73" operator="lessThan">
      <formula>-0.04</formula>
    </cfRule>
    <cfRule type="cellIs" dxfId="402" priority="74" operator="greaterThan">
      <formula>0.04</formula>
    </cfRule>
  </conditionalFormatting>
  <conditionalFormatting sqref="L7">
    <cfRule type="expression" dxfId="401" priority="45">
      <formula>$C$16="à choisir"</formula>
    </cfRule>
  </conditionalFormatting>
  <conditionalFormatting sqref="L12">
    <cfRule type="expression" dxfId="400" priority="48">
      <formula>$G$10="oui"</formula>
    </cfRule>
  </conditionalFormatting>
  <conditionalFormatting sqref="M8">
    <cfRule type="expression" dxfId="399" priority="44">
      <formula>$C$16="Salaire horaire"</formula>
    </cfRule>
    <cfRule type="expression" dxfId="398" priority="43">
      <formula>$C$16="salaire mensuel"</formula>
    </cfRule>
  </conditionalFormatting>
  <conditionalFormatting sqref="M13">
    <cfRule type="expression" dxfId="397" priority="46">
      <formula>$G$10="oui"</formula>
    </cfRule>
  </conditionalFormatting>
  <conditionalFormatting sqref="P1">
    <cfRule type="containsText" dxfId="396" priority="122" operator="containsText" text="Achtung Fehler">
      <formula>NOT(ISERROR(SEARCH("Achtung Fehler",P1)))</formula>
    </cfRule>
  </conditionalFormatting>
  <conditionalFormatting sqref="P7">
    <cfRule type="expression" dxfId="395" priority="47">
      <formula>$Q$7="du Sal.horaire"</formula>
    </cfRule>
  </conditionalFormatting>
  <conditionalFormatting sqref="P10">
    <cfRule type="expression" dxfId="394" priority="49">
      <formula>$Q$10="heures"</formula>
    </cfRule>
  </conditionalFormatting>
  <conditionalFormatting sqref="Q64">
    <cfRule type="expression" dxfId="393" priority="32">
      <formula>$G$12="non"</formula>
    </cfRule>
  </conditionalFormatting>
  <conditionalFormatting sqref="S20">
    <cfRule type="beginsWith" dxfId="392" priority="5" operator="beginsWith" text="Vereinfachtes">
      <formula>LEFT(S20,LEN("Vereinfachtes"))="Vereinfachtes"</formula>
    </cfRule>
    <cfRule type="beginsWith" dxfId="391" priority="4" operator="beginsWith" text="Hinweis">
      <formula>LEFT(S20,LEN("Hinweis"))="Hinweis"</formula>
    </cfRule>
    <cfRule type="beginsWith" dxfId="390" priority="3" operator="beginsWith" text="ACHTUNG">
      <formula>LEFT(S20,LEN("ACHTUNG"))="ACHTUNG"</formula>
    </cfRule>
  </conditionalFormatting>
  <conditionalFormatting sqref="S24">
    <cfRule type="beginsWith" dxfId="389" priority="2" operator="beginsWith" text="ACHTUNG">
      <formula>LEFT(S24,LEN("ACHTUNG"))="ACHTUNG"</formula>
    </cfRule>
  </conditionalFormatting>
  <conditionalFormatting sqref="S28">
    <cfRule type="beginsWith" dxfId="388" priority="1" operator="beginsWith" text="ACHTUNG">
      <formula>LEFT(S28,LEN("ACHTUNG"))="ACHTUNG"</formula>
    </cfRule>
  </conditionalFormatting>
  <conditionalFormatting sqref="S36:S37">
    <cfRule type="beginsWith" dxfId="387" priority="6" operator="beginsWith" text="ACHTUNG">
      <formula>LEFT(S36,LEN("ACHTUNG"))="ACHTUNG"</formula>
    </cfRule>
  </conditionalFormatting>
  <conditionalFormatting sqref="W1:AJ10 W11:X12 Z11:AJ12">
    <cfRule type="expression" dxfId="386" priority="51">
      <formula>W1&lt;&gt;""</formula>
    </cfRule>
  </conditionalFormatting>
  <conditionalFormatting sqref="W13:AJ1048576">
    <cfRule type="expression" dxfId="385" priority="15">
      <formula>W13&lt;&gt;""</formula>
    </cfRule>
  </conditionalFormatting>
  <dataValidations count="7">
    <dataValidation type="list" allowBlank="1" showInputMessage="1" showErrorMessage="1" sqref="G13" xr:uid="{2FC9FE4C-2F87-43DC-98C3-80868C4AE4FD}">
      <formula1>$Y$6:$Y$8</formula1>
    </dataValidation>
    <dataValidation type="list" allowBlank="1" showInputMessage="1" showErrorMessage="1" sqref="G11:G12" xr:uid="{A8C65427-1261-410B-A753-85BBDB1D039F}">
      <formula1>$AH$6:$AH$8</formula1>
    </dataValidation>
    <dataValidation type="list" allowBlank="1" showInputMessage="1" showErrorMessage="1" sqref="C16" xr:uid="{1CD683B4-E7FB-4696-86E7-AE687DC02264}">
      <formula1>$X$11:$X$13</formula1>
    </dataValidation>
    <dataValidation type="list" allowBlank="1" showInputMessage="1" showErrorMessage="1" sqref="C10" xr:uid="{5DA36C59-9878-4F00-A570-1C4C0EA904F6}">
      <formula1>$X$6:$X$8</formula1>
    </dataValidation>
    <dataValidation type="list" allowBlank="1" showInputMessage="1" showErrorMessage="1" sqref="C17" xr:uid="{6C7E6754-6550-4A2F-815F-3D0E01BBDC5B}">
      <formula1>$Y$11:$Y$12</formula1>
    </dataValidation>
    <dataValidation type="list" allowBlank="1" showInputMessage="1" showErrorMessage="1" sqref="G10" xr:uid="{042A91CD-DCD9-4F28-B8C6-47881B19430E}">
      <formula1>$AC$13:$AC$14</formula1>
    </dataValidation>
    <dataValidation type="list" allowBlank="1" showInputMessage="1" showErrorMessage="1" sqref="F9:G9" xr:uid="{9BBC5C31-FD72-4FAF-8A73-DFDC22DFB399}">
      <formula1>$AB$6:$AB$19</formula1>
    </dataValidation>
  </dataValidations>
  <hyperlinks>
    <hyperlink ref="P1:Q3" location="Fehler1" display="Fehler1" xr:uid="{F95EE3DF-20C5-4772-89A8-4B19AEE94F10}"/>
    <hyperlink ref="G1:H3" location="Fehler1" display="Fehler1" xr:uid="{164C2EB7-58B4-4B38-82BB-88254F7AB072}"/>
  </hyperlinks>
  <pageMargins left="0.23622047244094491" right="0.23622047244094491" top="0.74803149606299213" bottom="0.74803149606299213" header="0.31496062992125984" footer="0.31496062992125984"/>
  <pageSetup paperSize="9" scale="81" fitToWidth="2" pageOrder="overThenDown" orientation="portrait" r:id="rId1"/>
  <headerFooter>
    <oddHeader>&amp;R&amp;"Arial,Standard"&amp;9Koordinationsstelle &amp;"MS Sans Serif,Standard"&amp;10
&amp;"Arial,Fett"&amp;9Berner Modell&amp;"Arial,Standard" - freie Lebensgestaltung von Menschen mit Behinderungen
HelpLine 031 300 33 70 / info@bernermodell.ch</oddHeader>
    <oddFooter>&amp;L&amp;"Arial,Standard"&amp;9Seite &amp;P von &amp;N&amp;R&amp;"Arial,Standard"&amp;9Lohnprogramm V10.0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BD"/>
    <pageSetUpPr fitToPage="1"/>
  </sheetPr>
  <dimension ref="A1:AK83"/>
  <sheetViews>
    <sheetView showGridLines="0" showZeros="0" zoomScaleNormal="100" workbookViewId="0">
      <selection activeCell="C6" sqref="C6:D6"/>
    </sheetView>
  </sheetViews>
  <sheetFormatPr baseColWidth="10" defaultColWidth="11.453125" defaultRowHeight="12.5" x14ac:dyDescent="0.25"/>
  <cols>
    <col min="1" max="1" width="20.81640625" style="1" customWidth="1"/>
    <col min="2" max="2" width="4.54296875" style="1" bestFit="1" customWidth="1"/>
    <col min="3" max="4" width="13.7265625" style="1" customWidth="1"/>
    <col min="5" max="5" width="14.54296875" style="1" customWidth="1"/>
    <col min="6" max="8" width="13.7265625" style="1" customWidth="1"/>
    <col min="9" max="9" width="21.1796875" style="1" customWidth="1"/>
    <col min="10" max="10" width="4.54296875" style="1" bestFit="1" customWidth="1"/>
    <col min="11" max="16" width="12.26953125" style="1" customWidth="1"/>
    <col min="17" max="17" width="14.26953125" style="1" bestFit="1" customWidth="1"/>
    <col min="18" max="18" width="5" style="1" customWidth="1"/>
    <col min="19" max="19" width="29" style="1" customWidth="1"/>
    <col min="20" max="20" width="21" style="1" customWidth="1"/>
    <col min="21" max="21" width="15.7265625" style="1" customWidth="1"/>
    <col min="22" max="22" width="8" style="1" customWidth="1"/>
    <col min="23" max="23" width="15.26953125" style="1" hidden="1" customWidth="1"/>
    <col min="24" max="31" width="15.26953125" style="68" hidden="1" customWidth="1"/>
    <col min="32" max="35" width="15.26953125" style="1" hidden="1" customWidth="1"/>
    <col min="36" max="37" width="15.26953125" style="1" customWidth="1"/>
    <col min="38" max="16384" width="11.453125" style="1"/>
  </cols>
  <sheetData>
    <row r="1" spans="1:35" ht="12.75" customHeight="1" x14ac:dyDescent="0.25">
      <c r="A1" s="474" t="str">
        <f>'PA 1'!A1:C1</f>
        <v>Nom/Prénom employeur</v>
      </c>
      <c r="B1" s="474"/>
      <c r="C1" s="474"/>
      <c r="D1" s="473" t="str">
        <f>"Programme de salaire "&amp;Grundlagen!$D$1</f>
        <v>Programme de salaire 2026</v>
      </c>
      <c r="E1" s="473"/>
      <c r="F1" s="473"/>
      <c r="G1" s="460" t="str">
        <f>IF($W45&gt;4,"Attention erreur!",IF($W$45&gt;0,"Attention remarque!",""))</f>
        <v/>
      </c>
      <c r="H1" s="460"/>
      <c r="I1" s="475" t="str">
        <f>A1</f>
        <v>Nom/Prénom employeur</v>
      </c>
      <c r="J1" s="475"/>
      <c r="K1" s="475"/>
      <c r="L1" s="473" t="str">
        <f>D1</f>
        <v>Programme de salaire 2026</v>
      </c>
      <c r="M1" s="473"/>
      <c r="N1" s="473"/>
      <c r="P1" s="460" t="str">
        <f>IF($W45&gt;4,"Attention erreur!",IF($W$45&gt;0,"Attention remarque!",""))</f>
        <v/>
      </c>
      <c r="Q1" s="460"/>
      <c r="S1" s="250" t="s">
        <v>55</v>
      </c>
      <c r="T1" s="264"/>
      <c r="U1" s="441" t="s">
        <v>56</v>
      </c>
      <c r="V1" s="442" t="s">
        <v>57</v>
      </c>
      <c r="W1" s="425"/>
      <c r="AE1" s="1"/>
    </row>
    <row r="2" spans="1:35" ht="12.75" customHeight="1" x14ac:dyDescent="0.25">
      <c r="A2" s="474" t="str">
        <f>'PA 1'!A2:C2</f>
        <v>Lieu employeur</v>
      </c>
      <c r="B2" s="474"/>
      <c r="C2" s="474"/>
      <c r="D2" s="473"/>
      <c r="E2" s="473"/>
      <c r="F2" s="473"/>
      <c r="G2" s="460"/>
      <c r="H2" s="460"/>
      <c r="I2" s="475" t="str">
        <f>A2</f>
        <v>Lieu employeur</v>
      </c>
      <c r="J2" s="475"/>
      <c r="K2" s="475"/>
      <c r="L2" s="473"/>
      <c r="M2" s="473"/>
      <c r="N2" s="473"/>
      <c r="P2" s="460"/>
      <c r="Q2" s="460"/>
      <c r="S2" s="253" t="s">
        <v>59</v>
      </c>
      <c r="T2" s="2"/>
      <c r="U2" s="225">
        <f>IF(C16="Salaire horaire",(M8*M7*52)+(M13*M12*52),(M8+Y13)*12)</f>
        <v>0</v>
      </c>
      <c r="V2" s="265"/>
      <c r="W2" s="425"/>
      <c r="Y2" s="478" t="s">
        <v>60</v>
      </c>
      <c r="AA2" s="478" t="str">
        <f>"Jahreslohn gesamt &gt; CHF "&amp;Grundlagen!$B$9</f>
        <v>Jahreslohn gesamt &gt; CHF 58800</v>
      </c>
      <c r="AE2" s="1"/>
    </row>
    <row r="3" spans="1:35" ht="5.15" customHeight="1" x14ac:dyDescent="0.25">
      <c r="G3" s="460"/>
      <c r="H3" s="460"/>
      <c r="P3" s="460"/>
      <c r="Q3" s="460"/>
      <c r="S3" s="258"/>
      <c r="V3" s="254"/>
      <c r="W3" s="425"/>
      <c r="Y3" s="478"/>
      <c r="AA3" s="478"/>
      <c r="AE3" s="1"/>
    </row>
    <row r="4" spans="1:35" ht="15" customHeight="1" thickBot="1" x14ac:dyDescent="0.35">
      <c r="A4" s="41" t="s">
        <v>61</v>
      </c>
      <c r="B4" s="41"/>
      <c r="C4" s="41"/>
      <c r="D4" s="41"/>
      <c r="E4" s="42"/>
      <c r="F4" s="42"/>
      <c r="G4" s="42"/>
      <c r="H4" s="51" t="str">
        <f>CONCATENATE($C$6," ",$C$7)</f>
        <v xml:space="preserve"> </v>
      </c>
      <c r="I4" s="440" t="s">
        <v>62</v>
      </c>
      <c r="J4" s="440"/>
      <c r="K4" s="440"/>
      <c r="L4" s="440"/>
      <c r="M4" s="42"/>
      <c r="N4" s="42"/>
      <c r="O4" s="42"/>
      <c r="P4" s="42"/>
      <c r="Q4" s="51" t="str">
        <f>CONCATENATE($C$6," ",$C$7)</f>
        <v xml:space="preserve"> </v>
      </c>
      <c r="S4" s="467" t="s">
        <v>63</v>
      </c>
      <c r="T4" s="468"/>
      <c r="U4" s="266">
        <f>((U2-(U2*SUM(T8:T14,T16,Y9)+(12*T15)))*Z14)</f>
        <v>0</v>
      </c>
      <c r="V4" s="267">
        <f>U4/365</f>
        <v>0</v>
      </c>
      <c r="W4" s="425"/>
      <c r="X4" s="476" t="s">
        <v>64</v>
      </c>
      <c r="Y4" s="478"/>
      <c r="Z4" s="476" t="s">
        <v>65</v>
      </c>
      <c r="AA4" s="478"/>
      <c r="AB4" s="479" t="s">
        <v>66</v>
      </c>
      <c r="AC4" s="480" t="s">
        <v>67</v>
      </c>
      <c r="AD4" s="477" t="s">
        <v>68</v>
      </c>
      <c r="AE4" s="1"/>
      <c r="AH4" s="476" t="s">
        <v>69</v>
      </c>
      <c r="AI4" s="476"/>
    </row>
    <row r="5" spans="1:35" ht="5.15" customHeight="1" x14ac:dyDescent="0.25">
      <c r="X5" s="476"/>
      <c r="Y5" s="478"/>
      <c r="Z5" s="476"/>
      <c r="AA5" s="478"/>
      <c r="AB5" s="479"/>
      <c r="AC5" s="480"/>
      <c r="AD5" s="477"/>
      <c r="AE5" s="2"/>
      <c r="AF5" s="4"/>
      <c r="AG5" s="48"/>
      <c r="AH5" s="476"/>
      <c r="AI5" s="476"/>
    </row>
    <row r="6" spans="1:35" s="2" customFormat="1" ht="13.5" thickBot="1" x14ac:dyDescent="0.35">
      <c r="A6" s="2" t="s">
        <v>70</v>
      </c>
      <c r="C6" s="466"/>
      <c r="D6" s="466"/>
      <c r="E6" s="2" t="s">
        <v>71</v>
      </c>
      <c r="F6" s="461"/>
      <c r="G6" s="466"/>
      <c r="I6" s="6" t="s">
        <v>72</v>
      </c>
      <c r="N6" s="6" t="str">
        <f>IF(AND(C16="Salaire horaire",G11="oui"),"Calcul de l'indemnité les heures de garde","")</f>
        <v/>
      </c>
      <c r="W6" s="426"/>
      <c r="X6" s="2" t="s">
        <v>73</v>
      </c>
      <c r="Y6" s="2" t="s">
        <v>73</v>
      </c>
      <c r="Z6" s="2" t="str">
        <f>IF(OR(G13="simplifiée",G13="à choisir"),"simplifiée","")</f>
        <v>simplifiée</v>
      </c>
      <c r="AA6" s="59" t="str">
        <f>IF('Attestation du salaire (simpl.)'!H43&lt;Grundlagen!$B$9,"non","oui")</f>
        <v>non</v>
      </c>
      <c r="AB6" s="232" t="s">
        <v>73</v>
      </c>
      <c r="AC6" s="59" t="str">
        <f>IF(OR(F9="Parents",F9="Enfant", F9="Grands-parents", F9="Petit-fils/fille", F9="Conjoint-e", F9="Partenariat enrégistré", F9="Concubin-e"),"oui","non")</f>
        <v>non</v>
      </c>
      <c r="AD6" s="59" t="e">
        <f>IF(C16="Salaire horaire",IF(OR(M8&lt;21.6,M8&gt;21.6),"non",IF(M13="","oui",IF(OR(M13&lt;21.6,M13&gt;21.6),"non","oui"))),IF(C17="non",IF(AD9=3930,"oui","non"),IF(AD10=3630,"oui","non")))</f>
        <v>#DIV/0!</v>
      </c>
      <c r="AF6" s="5" t="s">
        <v>74</v>
      </c>
      <c r="AG6" s="49"/>
      <c r="AH6" s="2" t="s">
        <v>73</v>
      </c>
    </row>
    <row r="7" spans="1:35" s="2" customFormat="1" ht="13" x14ac:dyDescent="0.3">
      <c r="A7" s="2" t="s">
        <v>75</v>
      </c>
      <c r="C7" s="466"/>
      <c r="D7" s="466"/>
      <c r="E7" s="2" t="s">
        <v>76</v>
      </c>
      <c r="F7" s="461"/>
      <c r="G7" s="461"/>
      <c r="I7" s="2" t="str">
        <f>IF(C16="Salaire horaire",IF(G10="oui","Taux d'occupation I","Taux d'occupation"),IF(C16="Salaire mensuel","Taux d'occupation",""))</f>
        <v/>
      </c>
      <c r="L7" s="380"/>
      <c r="M7" s="443">
        <f>42*L7</f>
        <v>0</v>
      </c>
      <c r="N7" s="2" t="str">
        <f>IF(AND(C16="Salaire horaire",G11="oui"),"1 heure de garde =","")</f>
        <v/>
      </c>
      <c r="P7" s="308"/>
      <c r="Q7" s="2" t="str">
        <f>IF(AND(C16="Salaire horaire",G11="oui"),"du Sal.horaire","")</f>
        <v/>
      </c>
      <c r="S7" s="250" t="s">
        <v>77</v>
      </c>
      <c r="T7" s="251" t="s">
        <v>78</v>
      </c>
      <c r="U7" s="252"/>
      <c r="W7" s="1"/>
      <c r="X7" s="2" t="s">
        <v>79</v>
      </c>
      <c r="Y7" s="2" t="s">
        <v>80</v>
      </c>
      <c r="Z7" s="59" t="str">
        <f>IF(OR(G13="ordinaire",G13="à choisir"),"ordinaire","")</f>
        <v>ordinaire</v>
      </c>
      <c r="AA7" s="59"/>
      <c r="AB7" s="59" t="s">
        <v>81</v>
      </c>
      <c r="AD7" s="59" t="e">
        <f>IF(C16="Salaire horaire",IF(OR(M8&lt;21.6,M8&gt;56.5),"non",IF(M13="","oui",IF(OR(M13&lt;21.6,M13&gt;56.5),"non","oui"))),IF(C17="non",IF(AD9&lt;3930,"non","oui"),IF(AD10&lt;3630,"non","oui")))</f>
        <v>#DIV/0!</v>
      </c>
      <c r="AF7" s="5" t="s">
        <v>82</v>
      </c>
      <c r="AG7" s="49">
        <v>0</v>
      </c>
      <c r="AH7" s="2" t="s">
        <v>83</v>
      </c>
    </row>
    <row r="8" spans="1:35" s="2" customFormat="1" ht="12" customHeight="1" x14ac:dyDescent="0.3">
      <c r="A8" s="2" t="s">
        <v>84</v>
      </c>
      <c r="C8" s="466"/>
      <c r="D8" s="466"/>
      <c r="E8" s="2" t="s">
        <v>85</v>
      </c>
      <c r="F8" s="466"/>
      <c r="G8" s="466"/>
      <c r="I8" s="5" t="str">
        <f>IF(AND($C$16="Salaire horaire",OR(H10="à choisir",G10="non")),"Salaire horaire (avec suppl. vacances)",IF(AND($C$16="Salaire horaire",$G$10="oui"),"Salaire horaire I (avec suppl. vacances)",IF(C16="Salaire mensuel","Salaire mensuel","")))</f>
        <v/>
      </c>
      <c r="L8" s="4">
        <v>0</v>
      </c>
      <c r="M8" s="249"/>
      <c r="S8" s="253" t="s">
        <v>86</v>
      </c>
      <c r="T8" s="255">
        <f>IF(F7="",0,IF(DATEDIF($F$7,$A$21,"Y")&lt;18,0,Grundlagen!$B$5))</f>
        <v>0</v>
      </c>
      <c r="U8" s="254"/>
      <c r="W8" s="427"/>
      <c r="X8" s="2" t="s">
        <v>87</v>
      </c>
      <c r="Y8" s="59" t="s">
        <v>88</v>
      </c>
      <c r="Z8" s="59"/>
      <c r="AB8" s="59" t="s">
        <v>89</v>
      </c>
      <c r="AD8" s="2" t="e">
        <f>IF(C16="Salaire horaire",IF(OR(M8&lt;21.6,M8&gt;56.5,M13&lt;21.6,M13&gt;56.5),"non","oui"),IF(C17="non",IF(AD9&lt;10290.1,"non","oui"),IF(AD10&lt;9500.1,"non","oui")))</f>
        <v>#DIV/0!</v>
      </c>
      <c r="AF8" s="5"/>
      <c r="AG8" s="49"/>
      <c r="AH8" s="2" t="s">
        <v>90</v>
      </c>
    </row>
    <row r="9" spans="1:35" s="2" customFormat="1" ht="13" x14ac:dyDescent="0.3">
      <c r="A9" s="2" t="s">
        <v>91</v>
      </c>
      <c r="C9" s="466"/>
      <c r="D9" s="466"/>
      <c r="E9" s="2" t="s">
        <v>92</v>
      </c>
      <c r="F9" s="469" t="s">
        <v>73</v>
      </c>
      <c r="G9" s="469"/>
      <c r="I9" s="4" t="str">
        <f>IF($C$16="Salaire horaire","Suppl. vacances","")</f>
        <v/>
      </c>
      <c r="K9" s="4" t="str">
        <f>IF($C$16="Salaire horaire",(IF(L9=8.33%,"4 semaines","5 semaines")),"")</f>
        <v/>
      </c>
      <c r="L9" s="48" t="str">
        <f>IF($C$16="Salaire horaire",(IF(OR((DATEDIF($F$7,$C$21,"Y")&lt;20),(DATEDIF($F$7,$C$21,"Y")&gt;49)),10.64%,8.33%)),"")</f>
        <v/>
      </c>
      <c r="M9" s="247" t="str">
        <f>IF($C$16="Salaire horaire",M8/(1+L9)*L9,"")</f>
        <v/>
      </c>
      <c r="N9" s="6" t="str">
        <f>IF(C16="Salaire horaire","Conversion des engagements de nuit en heures","")</f>
        <v/>
      </c>
      <c r="S9" s="253" t="s">
        <v>93</v>
      </c>
      <c r="T9" s="255">
        <f>IF(F7="",0,IF(DATEDIF($F$7,$A$21,"Y")&lt;18,0,IF($C$67="oui",0,Grundlagen!$B$6)))</f>
        <v>0</v>
      </c>
      <c r="U9" s="256"/>
      <c r="W9" s="428"/>
      <c r="Y9" s="75">
        <f>IF(G13="à choisir",0,IF(AND(Z6="simplifiée",'PA 2'!Z6="simplifiée",'PA 3'!Z6="simplifiée",'PA 4'!Z6="simplifiée",'PA 5'!Z6="simplifiée",'PA 6'!Z6="simplifiée",'PA 7'!Z6="simplifiée",'PA 8'!Z6="simplifiée",'PA 9'!Z6="simplifiée"),IF(DATEDIF($F$7,D21,"Y")&lt;17,0%,5%),0%))</f>
        <v>0</v>
      </c>
      <c r="Z9" s="59"/>
      <c r="AB9" s="59" t="s">
        <v>94</v>
      </c>
      <c r="AD9" s="59" t="e">
        <f>ROUND(M8/L7,0)</f>
        <v>#DIV/0!</v>
      </c>
      <c r="AF9" s="5"/>
      <c r="AG9" s="49"/>
    </row>
    <row r="10" spans="1:35" s="2" customFormat="1" ht="13" x14ac:dyDescent="0.3">
      <c r="A10" s="2" t="s">
        <v>95</v>
      </c>
      <c r="C10" s="378" t="s">
        <v>73</v>
      </c>
      <c r="E10" s="2" t="str">
        <f>IF(C16="Salaire horaire","Avez-vous 2 différents sal. horaire?","")</f>
        <v/>
      </c>
      <c r="G10" s="391"/>
      <c r="H10" s="176" t="str">
        <f>IF(G10&gt;1,"",IF(C16="Salaire horaire","à choisir",""))</f>
        <v/>
      </c>
      <c r="I10" s="5" t="str">
        <f>IF(AND($C$16="Salaire horaire",OR(H10="à choisir",G10="non")),"Salaire horaire (sans Suppl. vacances)",IF(AND($C$16="Salaire horaire",$G$10="oui"),"Salaire horaire I (sans Suppl. vacances)",""))</f>
        <v/>
      </c>
      <c r="M10" s="248" t="str">
        <f>IF($C$16="Salaire horaire",M8-M9,"")</f>
        <v/>
      </c>
      <c r="N10" s="2" t="str">
        <f>IF(C16="Salaire horaire","1 nuit correspond à","")</f>
        <v/>
      </c>
      <c r="P10" s="268"/>
      <c r="Q10" s="2" t="str">
        <f>IF(C16="Salaire horaire","heures","")</f>
        <v/>
      </c>
      <c r="S10" s="253"/>
      <c r="T10" s="255"/>
      <c r="U10" s="256"/>
      <c r="W10" s="1"/>
      <c r="X10" s="6" t="s">
        <v>96</v>
      </c>
      <c r="Y10" s="6" t="s">
        <v>97</v>
      </c>
      <c r="Z10" s="64" t="s">
        <v>98</v>
      </c>
      <c r="AB10" s="59" t="s">
        <v>99</v>
      </c>
      <c r="AD10" s="59" t="e">
        <f>ROUND(M8/L7,0)</f>
        <v>#DIV/0!</v>
      </c>
    </row>
    <row r="11" spans="1:35" s="2" customFormat="1" ht="13.5" customHeight="1" x14ac:dyDescent="0.3">
      <c r="A11" s="2" t="s">
        <v>100</v>
      </c>
      <c r="C11" s="378"/>
      <c r="E11" s="2" t="s">
        <v>101</v>
      </c>
      <c r="G11" s="381" t="s">
        <v>73</v>
      </c>
      <c r="S11" s="253" t="s">
        <v>102</v>
      </c>
      <c r="T11" s="387"/>
      <c r="U11" s="257" t="s">
        <v>103</v>
      </c>
      <c r="W11" s="1"/>
      <c r="X11" s="2" t="s">
        <v>73</v>
      </c>
      <c r="Y11" s="2" t="str">
        <f>IF(C16="Salaire mensuel","oui","")</f>
        <v/>
      </c>
      <c r="Z11" s="188">
        <f>IF(G13="simplifiée",126.8%,0)</f>
        <v>0</v>
      </c>
      <c r="AB11" s="59" t="s">
        <v>104</v>
      </c>
      <c r="AD11" s="59"/>
    </row>
    <row r="12" spans="1:35" s="2" customFormat="1" ht="13.5" customHeight="1" x14ac:dyDescent="0.3">
      <c r="A12" s="2" t="s">
        <v>105</v>
      </c>
      <c r="C12" s="378"/>
      <c r="E12" s="2" t="s">
        <v>106</v>
      </c>
      <c r="G12" s="381" t="s">
        <v>73</v>
      </c>
      <c r="I12" s="2" t="str">
        <f>IF(G10="oui","Taux d'occupation II","")</f>
        <v/>
      </c>
      <c r="L12" s="224"/>
      <c r="M12" s="246">
        <f>42*L12</f>
        <v>0</v>
      </c>
      <c r="S12" s="253"/>
      <c r="T12" s="1"/>
      <c r="U12" s="254"/>
      <c r="W12" s="1"/>
      <c r="X12" s="2" t="s">
        <v>107</v>
      </c>
      <c r="Y12" s="2" t="str">
        <f>IF(C16="Salaire mensuel","non","")</f>
        <v/>
      </c>
      <c r="Z12" s="188">
        <f>IF(AND(G13="ordinaire",T15=0,T16=0),119.9%,0)</f>
        <v>0</v>
      </c>
      <c r="AA12" s="59"/>
      <c r="AB12" s="59" t="s">
        <v>108</v>
      </c>
      <c r="AC12" s="64" t="s">
        <v>109</v>
      </c>
      <c r="AD12" s="59"/>
    </row>
    <row r="13" spans="1:35" s="2" customFormat="1" ht="12.75" customHeight="1" x14ac:dyDescent="0.3">
      <c r="A13" s="2" t="s">
        <v>110</v>
      </c>
      <c r="C13" s="378"/>
      <c r="E13" s="2" t="s">
        <v>111</v>
      </c>
      <c r="G13" s="381" t="s">
        <v>73</v>
      </c>
      <c r="I13" s="5" t="str">
        <f>IF(G10="oui","Salaire horaire II (avec Suppl. vacances)","")</f>
        <v/>
      </c>
      <c r="L13" s="4"/>
      <c r="M13" s="249"/>
      <c r="S13" s="253" t="s">
        <v>112</v>
      </c>
      <c r="T13" s="388"/>
      <c r="U13" s="257" t="s">
        <v>103</v>
      </c>
      <c r="W13" s="425"/>
      <c r="X13" s="2" t="s">
        <v>113</v>
      </c>
      <c r="Y13" s="2">
        <f>IF(C17="oui",M8/12,0)</f>
        <v>0</v>
      </c>
      <c r="Z13" s="188">
        <f>IF(OR(T15&gt;0,T16&gt;0),129.2%,0)</f>
        <v>0</v>
      </c>
      <c r="AA13" s="59"/>
      <c r="AB13" s="59" t="s">
        <v>114</v>
      </c>
      <c r="AC13" s="59" t="s">
        <v>83</v>
      </c>
      <c r="AD13" s="59"/>
    </row>
    <row r="14" spans="1:35" s="2" customFormat="1" ht="12.75" customHeight="1" x14ac:dyDescent="0.3">
      <c r="A14" s="2" t="s">
        <v>115</v>
      </c>
      <c r="C14" s="379"/>
      <c r="E14" s="2" t="s">
        <v>116</v>
      </c>
      <c r="F14" s="466"/>
      <c r="G14" s="466"/>
      <c r="I14" s="4" t="str">
        <f>IF(G10="oui","Suppl. vacances","")</f>
        <v/>
      </c>
      <c r="K14" s="4" t="str">
        <f>IF($G$10="oui",(IF(L14=8.33%,"4 semaines","5 semaines")),"")</f>
        <v/>
      </c>
      <c r="L14" s="48" t="str">
        <f>IF(G10="oui",(IF(OR((DATEDIF($F$7,$C$21,"Y")&lt;20),(DATEDIF($F$7,$C$21,"Y")&gt;49)),10.64%,8.33%)),"")</f>
        <v/>
      </c>
      <c r="M14" s="247" t="str">
        <f>IF(G10="oui",M13/(1+L14)*L14,"")</f>
        <v/>
      </c>
      <c r="S14" s="258"/>
      <c r="T14" s="1"/>
      <c r="U14" s="254"/>
      <c r="W14" s="425"/>
      <c r="Y14" s="157">
        <f>M8</f>
        <v>0</v>
      </c>
      <c r="Z14" s="188">
        <f>SUM(Z11:Z13)</f>
        <v>0</v>
      </c>
      <c r="AA14" s="59"/>
      <c r="AB14" s="58" t="s">
        <v>117</v>
      </c>
      <c r="AC14" s="59" t="s">
        <v>90</v>
      </c>
      <c r="AD14" s="59"/>
    </row>
    <row r="15" spans="1:35" s="2" customFormat="1" ht="12.75" customHeight="1" x14ac:dyDescent="0.3">
      <c r="A15" s="2" t="s">
        <v>118</v>
      </c>
      <c r="C15" s="379"/>
      <c r="E15" s="2" t="s">
        <v>119</v>
      </c>
      <c r="F15" s="466"/>
      <c r="G15" s="466"/>
      <c r="I15" s="5" t="str">
        <f>IF(G10="oui","Salaire horaire II (sans Suppl. vacances)","")</f>
        <v/>
      </c>
      <c r="M15" s="248" t="str">
        <f>IF(G10="oui",M13-M14,"")</f>
        <v/>
      </c>
      <c r="S15" s="253" t="s">
        <v>120</v>
      </c>
      <c r="T15" s="389"/>
      <c r="U15" s="259" t="s">
        <v>121</v>
      </c>
      <c r="W15" s="1"/>
      <c r="Y15" s="2">
        <f>SUM(Y13:Y14)</f>
        <v>0</v>
      </c>
      <c r="Z15" s="59"/>
      <c r="AA15" s="59"/>
      <c r="AB15" s="59" t="s">
        <v>122</v>
      </c>
      <c r="AD15" s="59"/>
    </row>
    <row r="16" spans="1:35" s="2" customFormat="1" ht="12.75" customHeight="1" thickBot="1" x14ac:dyDescent="0.35">
      <c r="A16" s="2" t="s">
        <v>123</v>
      </c>
      <c r="C16" s="378" t="s">
        <v>73</v>
      </c>
      <c r="E16" s="2" t="s">
        <v>124</v>
      </c>
      <c r="F16" s="466"/>
      <c r="G16" s="466"/>
      <c r="S16" s="260" t="s">
        <v>125</v>
      </c>
      <c r="T16" s="390"/>
      <c r="U16" s="261" t="s">
        <v>126</v>
      </c>
      <c r="W16" s="1"/>
      <c r="Z16" s="59"/>
      <c r="AA16" s="59"/>
      <c r="AB16" s="58" t="s">
        <v>127</v>
      </c>
      <c r="AC16" s="59"/>
      <c r="AD16" s="59"/>
    </row>
    <row r="17" spans="1:37" s="2" customFormat="1" ht="12.75" customHeight="1" thickBot="1" x14ac:dyDescent="0.35">
      <c r="A17" s="2" t="str">
        <f>IF(C16="Salaire mensuel","13ème salaire","")</f>
        <v/>
      </c>
      <c r="C17" s="329"/>
      <c r="D17" s="176" t="str">
        <f>IF(C17&gt;1,"",IF(A17="13ème salaire","à choisir",""))</f>
        <v/>
      </c>
      <c r="E17" s="422" t="s">
        <v>128</v>
      </c>
      <c r="F17" s="423" t="str">
        <f>IF($F$7="","",IF($C$10="masculin",DATE(YEAR($F$7)+65,MONTH($F$7)+1,1),IF($C$10="féminin",DATE(YEAR($F$7)+64,MONTH($F$7)+1+VLOOKUP(YEAR($F$7),Grundlagen!$F$1:$G$26,2,TRUE),1),"")))</f>
        <v/>
      </c>
      <c r="H17" s="175"/>
      <c r="W17" s="1"/>
      <c r="X17" s="59"/>
      <c r="Y17" s="59"/>
      <c r="Z17" s="59"/>
      <c r="AA17" s="59"/>
      <c r="AB17" s="59" t="s">
        <v>129</v>
      </c>
      <c r="AC17" s="59"/>
      <c r="AD17" s="59"/>
    </row>
    <row r="18" spans="1:37" s="2" customFormat="1" ht="12" customHeight="1" x14ac:dyDescent="0.3">
      <c r="H18" s="175"/>
      <c r="M18" s="175"/>
      <c r="S18" s="484" t="s">
        <v>130</v>
      </c>
      <c r="T18" s="485"/>
      <c r="U18" s="486"/>
      <c r="V18" s="340"/>
      <c r="X18" s="158"/>
      <c r="Y18" s="159"/>
      <c r="Z18" s="59"/>
      <c r="AA18" s="59"/>
      <c r="AB18" s="59" t="s">
        <v>131</v>
      </c>
      <c r="AC18" s="59"/>
      <c r="AD18" s="59"/>
      <c r="AE18" s="59"/>
    </row>
    <row r="19" spans="1:37" s="2" customFormat="1" ht="14" x14ac:dyDescent="0.3">
      <c r="A19" s="41" t="s">
        <v>132</v>
      </c>
      <c r="B19" s="41"/>
      <c r="C19" s="52"/>
      <c r="D19" s="52"/>
      <c r="E19" s="52"/>
      <c r="F19" s="52"/>
      <c r="G19" s="52"/>
      <c r="H19" s="52"/>
      <c r="I19" s="41" t="str">
        <f>$A$19</f>
        <v>Décompte de salaire</v>
      </c>
      <c r="J19" s="41"/>
      <c r="K19" s="52"/>
      <c r="L19" s="52"/>
      <c r="M19" s="52"/>
      <c r="N19" s="52"/>
      <c r="O19" s="52"/>
      <c r="P19" s="52"/>
      <c r="Q19" s="52"/>
      <c r="S19" s="262"/>
      <c r="U19" s="263"/>
      <c r="X19" s="158"/>
      <c r="Y19" s="159"/>
      <c r="Z19" s="59"/>
      <c r="AA19" s="59"/>
      <c r="AB19" s="59" t="s">
        <v>133</v>
      </c>
      <c r="AC19" s="59"/>
      <c r="AD19" s="59"/>
      <c r="AE19" s="59"/>
    </row>
    <row r="20" spans="1:37" s="2" customFormat="1" ht="5.15" customHeight="1" thickBot="1" x14ac:dyDescent="0.3">
      <c r="C20" s="80"/>
      <c r="D20" s="81"/>
      <c r="E20" s="5"/>
      <c r="F20" s="5"/>
      <c r="G20" s="5"/>
      <c r="H20" s="49"/>
      <c r="I20" s="49"/>
      <c r="K20" s="49"/>
      <c r="S20" s="481">
        <f>IF(F7="",0,IF(OR(G13="ordinaire",G13="à choisir"),0,(IF(G13="simplifiée",IF(OR($F$9="Conjoint-e",$F$9="Enfant",$F$9="Partenariat enrégistré"),"Ni la conjointe ou le conjoint de l’employeur ni ses enfants ne peuvent utiliser la procédure de décompte AVS simplifiée.",IF(OR(Q38+Q39&gt;Grundlagen!$B$8-0.01,U2&gt;Grundlagen!$B$8-0.01),"La procédure de décompte simplifiée ne peut pas être appliquée si le salaire annuel est supérieur à CHF"&amp;Grundlagen!$B$8&amp;"!",IF(AA6="oui","La procédure de décompte simplifiée ne peut pas être appliquée si la masse salariale totale est supérieure à CHF "&amp;Grundlagen!$B$9&amp;"!",IF(DATEDIF($F$7,$A$21,"Y")&lt;19,0,IF(G13="ordinaire",0,0)))))))))</f>
        <v>0</v>
      </c>
      <c r="T20" s="482"/>
      <c r="U20" s="483"/>
      <c r="V20" s="370"/>
      <c r="X20" s="158"/>
      <c r="Y20" s="159"/>
      <c r="Z20" s="59"/>
      <c r="AA20" s="59"/>
      <c r="AB20" s="59"/>
      <c r="AD20" s="59"/>
      <c r="AE20" s="59"/>
    </row>
    <row r="21" spans="1:37" s="2" customFormat="1" ht="15" customHeight="1" x14ac:dyDescent="0.25">
      <c r="A21" s="310">
        <f>Grundlagen!$C$1</f>
        <v>46387</v>
      </c>
      <c r="B21" s="269"/>
      <c r="C21" s="82">
        <f>Grundlagen!$B$1</f>
        <v>46023</v>
      </c>
      <c r="D21" s="82">
        <f>DATE(YEAR(C21),MONTH(C21)+1,1)</f>
        <v>46054</v>
      </c>
      <c r="E21" s="82">
        <f t="shared" ref="E21:H21" si="0">DATE(YEAR(D21),MONTH(D21)+1,1)</f>
        <v>46082</v>
      </c>
      <c r="F21" s="82">
        <f t="shared" si="0"/>
        <v>46113</v>
      </c>
      <c r="G21" s="82">
        <f t="shared" si="0"/>
        <v>46143</v>
      </c>
      <c r="H21" s="69">
        <f t="shared" si="0"/>
        <v>46174</v>
      </c>
      <c r="I21" s="310">
        <f t="shared" ref="I21:I22" si="1">A21</f>
        <v>46387</v>
      </c>
      <c r="J21" s="269"/>
      <c r="K21" s="82">
        <f>DATE(YEAR(H21),MONTH(H21)+1,1)</f>
        <v>46204</v>
      </c>
      <c r="L21" s="82">
        <f>DATE(YEAR(K21),MONTH(K21)+1,1)</f>
        <v>46235</v>
      </c>
      <c r="M21" s="82">
        <f t="shared" ref="M21:P21" si="2">DATE(YEAR(L21),MONTH(L21)+1,1)</f>
        <v>46266</v>
      </c>
      <c r="N21" s="82">
        <f t="shared" si="2"/>
        <v>46296</v>
      </c>
      <c r="O21" s="82">
        <f t="shared" si="2"/>
        <v>46327</v>
      </c>
      <c r="P21" s="69">
        <f t="shared" si="2"/>
        <v>46357</v>
      </c>
      <c r="Q21" s="97" t="s">
        <v>134</v>
      </c>
      <c r="S21" s="481"/>
      <c r="T21" s="482"/>
      <c r="U21" s="483"/>
      <c r="V21" s="370"/>
      <c r="W21" s="2">
        <f>IF(S20=0,0,5)</f>
        <v>0</v>
      </c>
      <c r="X21" s="158"/>
      <c r="Y21" s="159"/>
      <c r="Z21" s="59"/>
      <c r="AA21" s="59"/>
      <c r="AB21" s="59"/>
      <c r="AC21" s="59"/>
      <c r="AD21" s="59"/>
      <c r="AE21" s="59"/>
    </row>
    <row r="22" spans="1:37" s="2" customFormat="1" ht="15" customHeight="1" x14ac:dyDescent="0.25">
      <c r="A22" s="311" t="str">
        <f>IF($C$16="Salaire horaire","",IF(C16="à choisir","","Salaire mensuel"))</f>
        <v/>
      </c>
      <c r="B22" s="270" t="str">
        <f>IF(A22="Salaire mensuel","CHF"," ")</f>
        <v xml:space="preserve"> </v>
      </c>
      <c r="C22" s="286">
        <f t="shared" ref="C22:H22" si="3">IF(OR($C$16="Salaire horaire",$C$16="à choisir"),0,IF($C$16="Salaire mensuel",(IF(OR(MONTH(IF($C$14&lt;$C$21,$C$21,$C$14))&gt;MONTH(C21),MONTH(IF($C$15="",$A$21,$C$15))&lt;MONTH(C21)),0,$M$8))))</f>
        <v>0</v>
      </c>
      <c r="D22" s="286">
        <f t="shared" si="3"/>
        <v>0</v>
      </c>
      <c r="E22" s="286">
        <f t="shared" si="3"/>
        <v>0</v>
      </c>
      <c r="F22" s="286">
        <f t="shared" si="3"/>
        <v>0</v>
      </c>
      <c r="G22" s="286">
        <f t="shared" si="3"/>
        <v>0</v>
      </c>
      <c r="H22" s="287">
        <f t="shared" si="3"/>
        <v>0</v>
      </c>
      <c r="I22" s="312" t="str">
        <f t="shared" si="1"/>
        <v/>
      </c>
      <c r="J22" s="270" t="str">
        <f>IF(I22="Salaire mensuel","CHF"," ")</f>
        <v xml:space="preserve"> </v>
      </c>
      <c r="K22" s="286">
        <f t="shared" ref="K22:P22" si="4">IF(OR($C$16="Salaire horaire",$C$16="à choisir"),0,IF($C$16="Salaire mensuel",(IF(OR(MONTH(IF($C$14&lt;$C$21,$C$21,$C$14))&gt;MONTH(K21),MONTH(IF($C$15="",$A$21,$C$15))&lt;MONTH(K21)),0,$M$8))))</f>
        <v>0</v>
      </c>
      <c r="L22" s="286">
        <f t="shared" si="4"/>
        <v>0</v>
      </c>
      <c r="M22" s="286">
        <f t="shared" si="4"/>
        <v>0</v>
      </c>
      <c r="N22" s="286">
        <f t="shared" si="4"/>
        <v>0</v>
      </c>
      <c r="O22" s="286">
        <f t="shared" si="4"/>
        <v>0</v>
      </c>
      <c r="P22" s="287">
        <f t="shared" si="4"/>
        <v>0</v>
      </c>
      <c r="Q22" s="302">
        <f t="shared" ref="Q22" si="5">ROUND((SUM(C22:H22)+SUM(K22:P22))*20,0)/20</f>
        <v>0</v>
      </c>
      <c r="S22" s="481"/>
      <c r="T22" s="482"/>
      <c r="U22" s="483"/>
      <c r="V22" s="370"/>
      <c r="X22" s="158"/>
      <c r="Y22" s="159"/>
      <c r="Z22" s="59"/>
      <c r="AA22" s="59"/>
      <c r="AB22" s="59"/>
      <c r="AC22" s="59"/>
      <c r="AD22" s="59"/>
      <c r="AE22" s="59"/>
    </row>
    <row r="23" spans="1:37" s="2" customFormat="1" ht="15" customHeight="1" x14ac:dyDescent="0.25">
      <c r="A23" s="311" t="str">
        <f>IF($C$16="Salaire horaire","",(IF($C$17="oui","13. Salaire mensuel","")))</f>
        <v/>
      </c>
      <c r="B23" s="270" t="str">
        <f>IF(A23="13. Salaire mensuel","CHF"," ")</f>
        <v xml:space="preserve"> </v>
      </c>
      <c r="C23" s="286">
        <f t="shared" ref="C23:H23" si="6">IF(OR($C$16="Salaire horaire",$C$16="à choisir"),0,(IF($C$17="oui",(C$22+C32+C33)/12,"")))</f>
        <v>0</v>
      </c>
      <c r="D23" s="288">
        <f t="shared" si="6"/>
        <v>0</v>
      </c>
      <c r="E23" s="288">
        <f t="shared" si="6"/>
        <v>0</v>
      </c>
      <c r="F23" s="288">
        <f t="shared" si="6"/>
        <v>0</v>
      </c>
      <c r="G23" s="288">
        <f t="shared" si="6"/>
        <v>0</v>
      </c>
      <c r="H23" s="287">
        <f t="shared" si="6"/>
        <v>0</v>
      </c>
      <c r="I23" s="312" t="str">
        <f t="shared" ref="I23:I52" si="7">A23</f>
        <v/>
      </c>
      <c r="J23" s="270" t="str">
        <f>IF(I23="13. Salaire mensuel","CHF"," ")</f>
        <v xml:space="preserve"> </v>
      </c>
      <c r="K23" s="288">
        <f t="shared" ref="K23:P23" si="8">IF(OR($C$16="Salaire horaire",$C$16="à choisir"),0,(IF($C$17="oui",(K$22+K32+K33)/12,"")))</f>
        <v>0</v>
      </c>
      <c r="L23" s="288">
        <f t="shared" si="8"/>
        <v>0</v>
      </c>
      <c r="M23" s="288">
        <f t="shared" si="8"/>
        <v>0</v>
      </c>
      <c r="N23" s="303">
        <f t="shared" si="8"/>
        <v>0</v>
      </c>
      <c r="O23" s="288">
        <f t="shared" si="8"/>
        <v>0</v>
      </c>
      <c r="P23" s="287">
        <f t="shared" si="8"/>
        <v>0</v>
      </c>
      <c r="Q23" s="240">
        <f t="shared" ref="Q23:Q37" si="9">ROUND((SUM(C23:H23)+SUM(K23:P23))*20,0)/20</f>
        <v>0</v>
      </c>
      <c r="S23" s="262"/>
      <c r="U23" s="263"/>
      <c r="Y23" s="58"/>
      <c r="Z23" s="58"/>
      <c r="AA23" s="58"/>
      <c r="AB23" s="58"/>
      <c r="AC23" s="58"/>
      <c r="AD23" s="58"/>
      <c r="AE23" s="58"/>
      <c r="AF23" s="58"/>
    </row>
    <row r="24" spans="1:37" s="2" customFormat="1" ht="15" customHeight="1" x14ac:dyDescent="0.25">
      <c r="A24" s="444" t="str">
        <f>IF(G11="oui","Nombre d'heures 
de garde","")</f>
        <v/>
      </c>
      <c r="B24" s="447" t="str">
        <f>IF(A24="Nombre d'heures 
de garde","h"," ")</f>
        <v xml:space="preserve"> </v>
      </c>
      <c r="C24" s="288"/>
      <c r="D24" s="288"/>
      <c r="E24" s="288"/>
      <c r="F24" s="288"/>
      <c r="G24" s="288"/>
      <c r="H24" s="287"/>
      <c r="I24" s="311" t="str">
        <f t="shared" si="7"/>
        <v/>
      </c>
      <c r="J24" s="330" t="str">
        <f>B24</f>
        <v xml:space="preserve"> </v>
      </c>
      <c r="K24" s="288"/>
      <c r="L24" s="288"/>
      <c r="M24" s="288"/>
      <c r="N24" s="288"/>
      <c r="O24" s="288"/>
      <c r="P24" s="287"/>
      <c r="Q24" s="304">
        <f t="shared" si="9"/>
        <v>0</v>
      </c>
      <c r="S24" s="481">
        <f>IF(OR(AND(Z6="simplifiée",'PA 2'!Z6="simplifiée",'PA 3'!Z6="simplifiée",'PA 4'!Z6="simplifiée",'PA 5'!Z6="simplifiée",'PA 6'!Z6="simplifiée",'PA 7'!Z6="simplifiée",'PA 8'!Z6="simplifiée",'PA 9'!Z6="simplifiée"),(AND(Z7="ordinaire",'PA 2'!Z7="ordinaire",'PA 3'!Z7="ordinaire",'PA 4'!Z7="ordinaire",'PA 5'!Z7="ordinaire",'PA 6'!Z7="ordinaire",'PA 7'!Z7="ordinaire",'PA 8'!Z7="ordinaire",'PA 9'!Z7="ordinaire"))),0,"ATTENTION: la même procédure de décompte AVS doit être utilisée pour tous les prestataires d’assistance!")</f>
        <v>0</v>
      </c>
      <c r="T24" s="482"/>
      <c r="U24" s="483"/>
      <c r="V24" s="370"/>
      <c r="Y24" s="58"/>
      <c r="Z24" s="58"/>
      <c r="AA24" s="58"/>
      <c r="AB24" s="58"/>
      <c r="AC24" s="58"/>
      <c r="AD24" s="58"/>
      <c r="AE24" s="58"/>
      <c r="AF24" s="58"/>
    </row>
    <row r="25" spans="1:37" s="6" customFormat="1" ht="13" x14ac:dyDescent="0.3">
      <c r="A25" s="450" t="str">
        <f>IF(AND(C16="Salaire mensuel",G12="oui"),"Nombre d'engagements de nuit",IF(P10&gt;0.1,"Nombre d'engagements de nuit",""))</f>
        <v/>
      </c>
      <c r="B25" s="270" t="str">
        <f>IF(A25="Nombre d'engagements de nuit","Nb."," ")</f>
        <v xml:space="preserve"> </v>
      </c>
      <c r="C25" s="289"/>
      <c r="D25" s="289"/>
      <c r="E25" s="289"/>
      <c r="F25" s="289"/>
      <c r="G25" s="289"/>
      <c r="H25" s="290"/>
      <c r="I25" s="450" t="str">
        <f t="shared" si="7"/>
        <v/>
      </c>
      <c r="J25" s="270" t="str">
        <f>B25</f>
        <v xml:space="preserve"> </v>
      </c>
      <c r="K25" s="289"/>
      <c r="L25" s="289"/>
      <c r="M25" s="289"/>
      <c r="N25" s="289"/>
      <c r="O25" s="289"/>
      <c r="P25" s="305"/>
      <c r="Q25" s="302">
        <f t="shared" si="9"/>
        <v>0</v>
      </c>
      <c r="R25" s="76"/>
      <c r="S25" s="481"/>
      <c r="T25" s="482"/>
      <c r="U25" s="483"/>
      <c r="V25" s="370"/>
      <c r="W25" s="2">
        <f>IF(S24&gt;1,5,0)</f>
        <v>0</v>
      </c>
      <c r="X25" s="102"/>
      <c r="Y25" s="99"/>
      <c r="Z25" s="100"/>
      <c r="AA25" s="77"/>
      <c r="AB25" s="77"/>
      <c r="AC25" s="77"/>
      <c r="AD25" s="77"/>
      <c r="AE25" s="77"/>
      <c r="AF25" s="77"/>
    </row>
    <row r="26" spans="1:37" s="6" customFormat="1" ht="15" customHeight="1" x14ac:dyDescent="0.3">
      <c r="A26" s="312" t="str">
        <f>IF(AND($C$16="Salaire mensuel",$G$12="oui"),"Nombre d'heures",IF(C16="Salaire horaire",IF(G10="oui","Nombre d'heures I","Nombre d'heures"),""))</f>
        <v/>
      </c>
      <c r="B26" s="271" t="str">
        <f>IF(OR(A26="Nombre d'heures Standard",A26="Nombre d'heures",A26="Nombre d'heures I"),"h"," ")</f>
        <v xml:space="preserve"> </v>
      </c>
      <c r="C26" s="288"/>
      <c r="D26" s="288"/>
      <c r="E26" s="288"/>
      <c r="F26" s="288"/>
      <c r="G26" s="288"/>
      <c r="H26" s="287"/>
      <c r="I26" s="312" t="str">
        <f t="shared" si="7"/>
        <v/>
      </c>
      <c r="J26" s="271" t="str">
        <f>IF(OR(I26="Nombre d'heures Standard",I26="Nombre d'heures",I26="Nombre d'heures I"),"h"," ")</f>
        <v xml:space="preserve"> </v>
      </c>
      <c r="K26" s="288"/>
      <c r="L26" s="288"/>
      <c r="M26" s="288"/>
      <c r="N26" s="288"/>
      <c r="O26" s="288"/>
      <c r="P26" s="287"/>
      <c r="Q26" s="304">
        <f t="shared" si="9"/>
        <v>0</v>
      </c>
      <c r="R26" s="76"/>
      <c r="S26" s="481"/>
      <c r="T26" s="482"/>
      <c r="U26" s="483"/>
      <c r="V26" s="370"/>
      <c r="W26" s="76"/>
      <c r="X26" s="102"/>
      <c r="Y26" s="99"/>
      <c r="Z26" s="59"/>
      <c r="AA26" s="77"/>
      <c r="AB26" s="77"/>
      <c r="AC26" s="77"/>
      <c r="AD26" s="77"/>
      <c r="AE26" s="77"/>
      <c r="AF26" s="77"/>
    </row>
    <row r="27" spans="1:37" s="6" customFormat="1" ht="15" customHeight="1" x14ac:dyDescent="0.3">
      <c r="A27" s="312" t="str">
        <f>IF($C$16="Salaire horaire",IF(G10="oui","Salaire horaire I","Salaire horaire"),"")</f>
        <v/>
      </c>
      <c r="B27" s="270" t="str">
        <f>IF(OR(A27="Salaire horaire Standard",A27="Salaire horaire",A27="Salaire horaire I"),"CHF"," ")</f>
        <v xml:space="preserve"> </v>
      </c>
      <c r="C27" s="237" t="str">
        <f t="shared" ref="C27:H27" si="10">IF($C$16="Salaire horaire",(IF(OR((DATEDIF($F$7,C21,"Y")&lt;20),(DATEDIF($F$7,C21,"Y")&gt;49)),$M$8/110.64%*(C26+C24*$P$7+C25*$P$10),$M$8/108.33%*(C26+C24*$P$7+C25*$P$10))),"")</f>
        <v/>
      </c>
      <c r="D27" s="237" t="str">
        <f t="shared" si="10"/>
        <v/>
      </c>
      <c r="E27" s="237" t="str">
        <f t="shared" si="10"/>
        <v/>
      </c>
      <c r="F27" s="237" t="str">
        <f t="shared" si="10"/>
        <v/>
      </c>
      <c r="G27" s="237" t="str">
        <f t="shared" si="10"/>
        <v/>
      </c>
      <c r="H27" s="238" t="str">
        <f t="shared" si="10"/>
        <v/>
      </c>
      <c r="I27" s="312" t="str">
        <f t="shared" si="7"/>
        <v/>
      </c>
      <c r="J27" s="270" t="str">
        <f>IF(OR(I27="Salaire horaire Standard",I27="Salaire horaire",I27="Salaire horaire I"),"CHF"," ")</f>
        <v xml:space="preserve"> </v>
      </c>
      <c r="K27" s="237" t="str">
        <f t="shared" ref="K27:P27" si="11">IF($C$16="Salaire horaire",(IF(OR((DATEDIF($F$7,K21,"Y")&lt;20),(DATEDIF($F$7,K21,"Y")&gt;49)),$M$8/110.64%*(K26+K24*$P$7+K25*$P$10),$M$8/108.33%*(K26+K24*$P$7+K25*$P$10))),"")</f>
        <v/>
      </c>
      <c r="L27" s="237" t="str">
        <f t="shared" si="11"/>
        <v/>
      </c>
      <c r="M27" s="237" t="str">
        <f t="shared" si="11"/>
        <v/>
      </c>
      <c r="N27" s="237" t="str">
        <f t="shared" si="11"/>
        <v/>
      </c>
      <c r="O27" s="237" t="str">
        <f t="shared" si="11"/>
        <v/>
      </c>
      <c r="P27" s="238" t="str">
        <f t="shared" si="11"/>
        <v/>
      </c>
      <c r="Q27" s="304">
        <f t="shared" si="9"/>
        <v>0</v>
      </c>
      <c r="R27" s="76"/>
      <c r="S27" s="262"/>
      <c r="T27" s="2"/>
      <c r="U27" s="263"/>
      <c r="V27" s="2"/>
      <c r="W27" s="76"/>
      <c r="X27" s="102"/>
      <c r="Y27" s="99"/>
      <c r="Z27" s="59"/>
      <c r="AA27" s="77"/>
      <c r="AB27" s="77"/>
      <c r="AC27" s="77"/>
      <c r="AD27" s="77"/>
      <c r="AE27" s="77"/>
      <c r="AF27" s="77"/>
    </row>
    <row r="28" spans="1:37" s="2" customFormat="1" ht="15" customHeight="1" x14ac:dyDescent="0.25">
      <c r="A28" s="312" t="str">
        <f>IF(G10="oui","Nombre d'heures II","")</f>
        <v/>
      </c>
      <c r="B28" s="271" t="str">
        <f>IF(OR(A28="Nombre d'heures Quali B",A28="Nombre d'heures II"),"h"," ")</f>
        <v xml:space="preserve"> </v>
      </c>
      <c r="C28" s="288"/>
      <c r="D28" s="288"/>
      <c r="E28" s="288"/>
      <c r="F28" s="288"/>
      <c r="G28" s="288"/>
      <c r="H28" s="287"/>
      <c r="I28" s="312" t="str">
        <f t="shared" si="7"/>
        <v/>
      </c>
      <c r="J28" s="271" t="str">
        <f>IF(OR(I28="Nombre d'heures Quali B",I28="Nombre d'heures II"),"h"," ")</f>
        <v xml:space="preserve"> </v>
      </c>
      <c r="K28" s="288"/>
      <c r="L28" s="288"/>
      <c r="M28" s="288"/>
      <c r="N28" s="303"/>
      <c r="O28" s="288"/>
      <c r="P28" s="287"/>
      <c r="Q28" s="304">
        <f t="shared" si="9"/>
        <v>0</v>
      </c>
      <c r="R28" s="78"/>
      <c r="S28" s="481">
        <f>IF(AND(AC6="oui",(G12="oui")),"ATTENTION: le salaire des proches ne doit pas ètre réglé avec la contribution d'assistance d l'AI",0)</f>
        <v>0</v>
      </c>
      <c r="T28" s="482"/>
      <c r="U28" s="483"/>
      <c r="V28" s="370"/>
      <c r="W28" s="78"/>
      <c r="X28" s="101"/>
      <c r="Y28" s="98"/>
    </row>
    <row r="29" spans="1:37" s="6" customFormat="1" ht="15" customHeight="1" x14ac:dyDescent="0.25">
      <c r="A29" s="312" t="str">
        <f>IF(G10="oui","Salaire horaire II","")</f>
        <v/>
      </c>
      <c r="B29" s="270" t="str">
        <f>IF(OR(A29="Salaire horaire Quali B",A29="Salaire horaire II"),"CHF"," ")</f>
        <v xml:space="preserve"> </v>
      </c>
      <c r="C29" s="237" t="str">
        <f t="shared" ref="C29:H29" si="12">IF($C$16="Salaire horaire",(IF(OR((DATEDIF($F$7,C21,"Y")&lt;20),(DATEDIF($F$7,C21,"Y")&gt;49)),$M$13/110.64%*(C28),$M$13/108.33%*(C28))),"")</f>
        <v/>
      </c>
      <c r="D29" s="237" t="str">
        <f t="shared" si="12"/>
        <v/>
      </c>
      <c r="E29" s="237" t="str">
        <f t="shared" si="12"/>
        <v/>
      </c>
      <c r="F29" s="237" t="str">
        <f t="shared" si="12"/>
        <v/>
      </c>
      <c r="G29" s="237" t="str">
        <f t="shared" si="12"/>
        <v/>
      </c>
      <c r="H29" s="238" t="str">
        <f t="shared" si="12"/>
        <v/>
      </c>
      <c r="I29" s="312" t="str">
        <f t="shared" si="7"/>
        <v/>
      </c>
      <c r="J29" s="270" t="str">
        <f>IF(OR(I29="Salaire horaire Quali B",I29="Salaire horaire II"),"CHF"," ")</f>
        <v xml:space="preserve"> </v>
      </c>
      <c r="K29" s="237" t="str">
        <f t="shared" ref="K29:P29" si="13">IF($C$16="Salaire horaire",(IF(OR((DATEDIF($F$7,K21,"Y")&lt;20),(DATEDIF($F$7,K21,"Y")&gt;49)),$M$13/110.64%*(K28),$M$13/108.33%*(K28))),"")</f>
        <v/>
      </c>
      <c r="L29" s="237" t="str">
        <f t="shared" si="13"/>
        <v/>
      </c>
      <c r="M29" s="237" t="str">
        <f t="shared" si="13"/>
        <v/>
      </c>
      <c r="N29" s="237" t="str">
        <f t="shared" si="13"/>
        <v/>
      </c>
      <c r="O29" s="237" t="str">
        <f t="shared" si="13"/>
        <v/>
      </c>
      <c r="P29" s="238" t="str">
        <f t="shared" si="13"/>
        <v/>
      </c>
      <c r="Q29" s="304">
        <f t="shared" si="9"/>
        <v>0</v>
      </c>
      <c r="R29" s="65"/>
      <c r="S29" s="481"/>
      <c r="T29" s="482"/>
      <c r="U29" s="483"/>
      <c r="V29" s="370"/>
      <c r="W29" s="2">
        <f>IF(S28&gt;1,5,0)</f>
        <v>0</v>
      </c>
      <c r="X29" s="103"/>
      <c r="Y29" s="98"/>
      <c r="Z29" s="59"/>
      <c r="AA29" s="59"/>
      <c r="AB29" s="59"/>
      <c r="AC29" s="59"/>
      <c r="AD29" s="59"/>
      <c r="AE29" s="59"/>
      <c r="AF29" s="59"/>
    </row>
    <row r="30" spans="1:37" s="6" customFormat="1" ht="15" customHeight="1" x14ac:dyDescent="0.25">
      <c r="A30" s="312" t="str">
        <f>IF($C$16="Salaire horaire","Supplément de vacances","")</f>
        <v/>
      </c>
      <c r="B30" s="270" t="str">
        <f>IF(A30="Supplément de vacances","CHF"," ")</f>
        <v xml:space="preserve"> </v>
      </c>
      <c r="C30" s="237">
        <f t="shared" ref="C30:H30" si="14">IF($C$16="Salaire horaire",(ROUND(IF(OR((DATEDIF($F$7,C$21,"Y")&lt;20),(DATEDIF($F$7,C$21,"Y")&gt;49)),(C$27+C$29)*10.64%,(C$27+C$29)*8.33%),2)),)</f>
        <v>0</v>
      </c>
      <c r="D30" s="237">
        <f t="shared" si="14"/>
        <v>0</v>
      </c>
      <c r="E30" s="237">
        <f t="shared" si="14"/>
        <v>0</v>
      </c>
      <c r="F30" s="237">
        <f t="shared" si="14"/>
        <v>0</v>
      </c>
      <c r="G30" s="237">
        <f t="shared" si="14"/>
        <v>0</v>
      </c>
      <c r="H30" s="238">
        <f t="shared" si="14"/>
        <v>0</v>
      </c>
      <c r="I30" s="312" t="str">
        <f t="shared" si="7"/>
        <v/>
      </c>
      <c r="J30" s="270" t="str">
        <f>IF(I30="Ferienzuschlag","CHF"," ")</f>
        <v xml:space="preserve"> </v>
      </c>
      <c r="K30" s="237">
        <f t="shared" ref="K30:P30" si="15">IF($C$16="Salaire horaire",(ROUND(IF(OR((DATEDIF($F$7,K$21,"Y")&lt;20),(DATEDIF($F$7,K$21,"Y")&gt;49)),(K$27+K$29)*10.64%,(K$27+K$29)*8.33%),2)),)</f>
        <v>0</v>
      </c>
      <c r="L30" s="237">
        <f t="shared" si="15"/>
        <v>0</v>
      </c>
      <c r="M30" s="237">
        <f t="shared" si="15"/>
        <v>0</v>
      </c>
      <c r="N30" s="237">
        <f t="shared" si="15"/>
        <v>0</v>
      </c>
      <c r="O30" s="237">
        <f t="shared" si="15"/>
        <v>0</v>
      </c>
      <c r="P30" s="238">
        <f t="shared" si="15"/>
        <v>0</v>
      </c>
      <c r="Q30" s="304">
        <f t="shared" si="9"/>
        <v>0</v>
      </c>
      <c r="R30" s="65"/>
      <c r="S30" s="481"/>
      <c r="T30" s="482"/>
      <c r="U30" s="483"/>
      <c r="V30" s="370"/>
      <c r="W30" s="65"/>
      <c r="X30" s="103"/>
      <c r="Y30" s="98"/>
      <c r="Z30" s="59"/>
      <c r="AA30" s="59"/>
      <c r="AB30" s="59"/>
      <c r="AC30" s="59"/>
      <c r="AD30" s="59"/>
      <c r="AE30" s="59"/>
      <c r="AF30" s="59"/>
    </row>
    <row r="31" spans="1:37" s="6" customFormat="1" x14ac:dyDescent="0.25">
      <c r="A31" s="313" t="s">
        <v>135</v>
      </c>
      <c r="B31" s="271" t="s">
        <v>136</v>
      </c>
      <c r="C31" s="382"/>
      <c r="D31" s="384"/>
      <c r="E31" s="384"/>
      <c r="F31" s="384"/>
      <c r="G31" s="384"/>
      <c r="H31" s="383"/>
      <c r="I31" s="313" t="str">
        <f t="shared" si="7"/>
        <v>Repas &amp; logement</v>
      </c>
      <c r="J31" s="271" t="s">
        <v>136</v>
      </c>
      <c r="K31" s="382"/>
      <c r="L31" s="382"/>
      <c r="M31" s="382"/>
      <c r="N31" s="382"/>
      <c r="O31" s="382"/>
      <c r="P31" s="383"/>
      <c r="Q31" s="83">
        <f t="shared" si="9"/>
        <v>0</v>
      </c>
      <c r="R31" s="65"/>
      <c r="S31" s="470">
        <f>IF(AND(M7+M13&gt;8,T11=0),"Remarque: à partir de 8 heures de travail effectives par semaine, l’employé doit avoir souscrit une assurance-accidents non professionnels!",0)</f>
        <v>0</v>
      </c>
      <c r="T31" s="471"/>
      <c r="U31" s="472"/>
      <c r="V31" s="369"/>
      <c r="W31" s="2"/>
      <c r="X31" s="103"/>
      <c r="Y31" s="98"/>
      <c r="Z31" s="59"/>
      <c r="AA31" s="59"/>
      <c r="AB31" s="59"/>
      <c r="AC31" s="59"/>
      <c r="AD31" s="59"/>
      <c r="AE31" s="59"/>
      <c r="AF31" s="59"/>
    </row>
    <row r="32" spans="1:37" s="6" customFormat="1" ht="34.5" x14ac:dyDescent="0.25">
      <c r="A32" s="313" t="s">
        <v>137</v>
      </c>
      <c r="B32" s="272" t="s">
        <v>136</v>
      </c>
      <c r="C32" s="382"/>
      <c r="D32" s="384"/>
      <c r="E32" s="384"/>
      <c r="F32" s="384"/>
      <c r="G32" s="384"/>
      <c r="H32" s="385"/>
      <c r="I32" s="313" t="str">
        <f t="shared" si="7"/>
        <v>Oblig. de verser le salaire (art. 324a CO) (soumis à l'AVS)</v>
      </c>
      <c r="J32" s="272" t="s">
        <v>136</v>
      </c>
      <c r="K32" s="384"/>
      <c r="L32" s="384"/>
      <c r="M32" s="384"/>
      <c r="N32" s="386"/>
      <c r="O32" s="384"/>
      <c r="P32" s="385"/>
      <c r="Q32" s="70">
        <f t="shared" si="9"/>
        <v>0</v>
      </c>
      <c r="R32" s="65"/>
      <c r="S32" s="470"/>
      <c r="T32" s="471"/>
      <c r="U32" s="472"/>
      <c r="V32" s="369"/>
      <c r="W32" s="2">
        <f>IF(S31&gt;1,1,0)</f>
        <v>0</v>
      </c>
      <c r="X32" s="103"/>
      <c r="Y32" s="98"/>
      <c r="Z32" s="59"/>
      <c r="AA32" s="59"/>
      <c r="AB32" s="59"/>
      <c r="AC32" s="59"/>
      <c r="AD32" s="59"/>
      <c r="AE32" s="59"/>
      <c r="AF32" s="59"/>
      <c r="AK32" s="104"/>
    </row>
    <row r="33" spans="1:37" s="6" customFormat="1" ht="23" x14ac:dyDescent="0.25">
      <c r="A33" s="313" t="s">
        <v>138</v>
      </c>
      <c r="B33" s="272" t="s">
        <v>136</v>
      </c>
      <c r="C33" s="382"/>
      <c r="D33" s="384"/>
      <c r="E33" s="384"/>
      <c r="F33" s="384"/>
      <c r="G33" s="384"/>
      <c r="H33" s="385"/>
      <c r="I33" s="313" t="str">
        <f t="shared" si="7"/>
        <v>Oblig. de verser le salaire
(soumis à l'AVS)</v>
      </c>
      <c r="J33" s="272" t="s">
        <v>136</v>
      </c>
      <c r="K33" s="384"/>
      <c r="L33" s="384"/>
      <c r="M33" s="384"/>
      <c r="N33" s="386"/>
      <c r="O33" s="384"/>
      <c r="P33" s="385"/>
      <c r="Q33" s="70">
        <f t="shared" si="9"/>
        <v>0</v>
      </c>
      <c r="R33" s="65"/>
      <c r="S33" s="470">
        <f>IF(DATEDIF($F$7,C21,"Y")&lt;17,0,IF($C$67="oui",0,IF(AND(U2&gt;Grundlagen!$B$8-0.01,SUM(T15:T16)=0),"Remarque: si le salaire annuel brut AVS dépasse " &amp; Grundlagen!$B$8 &amp;" la personne doit être impérativement assurée auprès d’une institution de prévoyance professionnelle!",0)))</f>
        <v>0</v>
      </c>
      <c r="T33" s="471"/>
      <c r="U33" s="472"/>
      <c r="V33" s="369"/>
      <c r="W33" s="65"/>
      <c r="X33" s="103"/>
      <c r="Y33" s="98"/>
      <c r="Z33" s="59"/>
      <c r="AA33" s="59"/>
      <c r="AB33" s="59"/>
      <c r="AC33" s="59"/>
      <c r="AD33" s="59"/>
      <c r="AE33" s="59"/>
      <c r="AF33" s="59"/>
      <c r="AK33" s="104"/>
    </row>
    <row r="34" spans="1:37" s="6" customFormat="1" ht="23" x14ac:dyDescent="0.25">
      <c r="A34" s="314" t="s">
        <v>139</v>
      </c>
      <c r="B34" s="273" t="s">
        <v>136</v>
      </c>
      <c r="C34" s="382"/>
      <c r="D34" s="384"/>
      <c r="E34" s="384"/>
      <c r="F34" s="384"/>
      <c r="G34" s="384"/>
      <c r="H34" s="385"/>
      <c r="I34" s="314" t="str">
        <f t="shared" si="7"/>
        <v>Allocation maternité / militaire (soumis à l'AVS)</v>
      </c>
      <c r="J34" s="273" t="s">
        <v>136</v>
      </c>
      <c r="K34" s="384"/>
      <c r="L34" s="384"/>
      <c r="M34" s="384"/>
      <c r="N34" s="386"/>
      <c r="O34" s="384"/>
      <c r="P34" s="385"/>
      <c r="Q34" s="70">
        <f t="shared" si="9"/>
        <v>0</v>
      </c>
      <c r="R34" s="57"/>
      <c r="S34" s="470"/>
      <c r="T34" s="471"/>
      <c r="U34" s="472"/>
      <c r="V34" s="369"/>
      <c r="W34" s="2">
        <f>IF(S33&gt;1,1,0)</f>
        <v>0</v>
      </c>
      <c r="X34" s="101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</row>
    <row r="35" spans="1:37" s="2" customFormat="1" ht="23" x14ac:dyDescent="0.25">
      <c r="A35" s="314" t="s">
        <v>140</v>
      </c>
      <c r="B35" s="273" t="s">
        <v>136</v>
      </c>
      <c r="C35" s="382"/>
      <c r="D35" s="384"/>
      <c r="E35" s="384"/>
      <c r="F35" s="384"/>
      <c r="G35" s="384"/>
      <c r="H35" s="385"/>
      <c r="I35" s="314" t="str">
        <f t="shared" si="7"/>
        <v>Indemnité d'assurance
(non soumis AVS)</v>
      </c>
      <c r="J35" s="273" t="s">
        <v>136</v>
      </c>
      <c r="K35" s="384"/>
      <c r="L35" s="384"/>
      <c r="M35" s="384"/>
      <c r="N35" s="386"/>
      <c r="O35" s="384"/>
      <c r="P35" s="385"/>
      <c r="Q35" s="70">
        <f t="shared" si="9"/>
        <v>0</v>
      </c>
      <c r="R35" s="57"/>
      <c r="S35" s="470"/>
      <c r="T35" s="471"/>
      <c r="U35" s="472"/>
      <c r="V35" s="369"/>
      <c r="W35" s="57"/>
      <c r="X35" s="101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</row>
    <row r="36" spans="1:37" s="2" customFormat="1" ht="15" customHeight="1" x14ac:dyDescent="0.25">
      <c r="A36" s="312" t="s">
        <v>141</v>
      </c>
      <c r="B36" s="271" t="s">
        <v>136</v>
      </c>
      <c r="C36" s="382"/>
      <c r="D36" s="384"/>
      <c r="E36" s="384"/>
      <c r="F36" s="384"/>
      <c r="G36" s="384"/>
      <c r="H36" s="385"/>
      <c r="I36" s="312" t="str">
        <f t="shared" si="7"/>
        <v>Allocations familiales</v>
      </c>
      <c r="J36" s="271" t="s">
        <v>136</v>
      </c>
      <c r="K36" s="384"/>
      <c r="L36" s="384"/>
      <c r="M36" s="384"/>
      <c r="N36" s="386"/>
      <c r="O36" s="384"/>
      <c r="P36" s="385"/>
      <c r="Q36" s="70">
        <f t="shared" si="9"/>
        <v>0</v>
      </c>
      <c r="R36" s="57"/>
      <c r="S36" s="470">
        <f>IF(M8="",0,IF($C$16="Salaire horaire",(IF(AC6="non",IF(AND(AC6="non",AD7="oui"),0,"ATTENTION: le modèle bernois reconnaît un salaire horaire minimum de CHF 21.60 et maximum de CHF 56.50 pour les personnes autres que les proches."),IF(AND(AC6="oui",AD6="oui"),0,"ATTENTION: le modèle bernois reconnaît un salaire horaire minimum de CHF 21.60 pour les proches."))),(IF(AC6="non",IF(AND(AC6="non",AD7="oui"),(IF(AD8="oui","ATTENTION: pour les personnes autres que les proches, le modèle bernois reconnaît un salaire mensuel maximum de CHF 9'500 + 13e salaire ou de CHF 10'290 sans 13e salaire. Veuillez contrôler le taux d’occupation.",0)),"ATTENTION: pour les personnes autres que les proches, le modèle bernois reconnaît un salaire mensuel minimum de CHF 3'630 + 13e salaire ou de CHF 3'930 sans 13e salaire. Veuillez contrôler le taux d’occupation."),IF(AND(AC6="oui",AD6="oui"),0,"ATTENTION: pour les proches, le modèle bernois reconnaît un salaire mensuel de CHF 3'630 + 13e salaire ou de CHF 3'930 sans 13e salaire. Veuillez contrôler le taux d’occupation.")))))</f>
        <v>0</v>
      </c>
      <c r="T36" s="471"/>
      <c r="U36" s="472"/>
      <c r="V36" s="369"/>
      <c r="W36" s="57"/>
      <c r="X36" s="105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</row>
    <row r="37" spans="1:37" s="2" customFormat="1" ht="15" customHeight="1" x14ac:dyDescent="0.25">
      <c r="A37" s="315" t="s">
        <v>142</v>
      </c>
      <c r="B37" s="274" t="s">
        <v>136</v>
      </c>
      <c r="C37" s="291">
        <f t="shared" ref="C37:H37" si="16">MROUND(IF($C$16="Salaire horaire",SUM(C27,C29,C30,C31,C32,C33,C34,C35,C36),SUM(C22,C23,C30,C31,C32,C33,C34,C35,C36)),0.05)</f>
        <v>0</v>
      </c>
      <c r="D37" s="291">
        <f t="shared" si="16"/>
        <v>0</v>
      </c>
      <c r="E37" s="291">
        <f t="shared" si="16"/>
        <v>0</v>
      </c>
      <c r="F37" s="291">
        <f t="shared" si="16"/>
        <v>0</v>
      </c>
      <c r="G37" s="291">
        <f t="shared" si="16"/>
        <v>0</v>
      </c>
      <c r="H37" s="242">
        <f t="shared" si="16"/>
        <v>0</v>
      </c>
      <c r="I37" s="315" t="str">
        <f t="shared" si="7"/>
        <v>Salaire brut</v>
      </c>
      <c r="J37" s="274" t="s">
        <v>136</v>
      </c>
      <c r="K37" s="291">
        <f t="shared" ref="K37:P37" si="17">MROUND(IF($C$16="Salaire horaire",SUM(K27,K29,K30,K31,K32,K33,K34,K35,K36),SUM(K22,K23,K30,K31,K32,K33,K34,K35,K36)),0.05)</f>
        <v>0</v>
      </c>
      <c r="L37" s="291">
        <f t="shared" si="17"/>
        <v>0</v>
      </c>
      <c r="M37" s="291">
        <f t="shared" si="17"/>
        <v>0</v>
      </c>
      <c r="N37" s="291">
        <f t="shared" si="17"/>
        <v>0</v>
      </c>
      <c r="O37" s="291">
        <f t="shared" si="17"/>
        <v>0</v>
      </c>
      <c r="P37" s="242">
        <f t="shared" si="17"/>
        <v>0</v>
      </c>
      <c r="Q37" s="242">
        <f t="shared" si="9"/>
        <v>0</v>
      </c>
      <c r="R37" s="57"/>
      <c r="S37" s="470"/>
      <c r="T37" s="471"/>
      <c r="U37" s="472"/>
      <c r="V37" s="369"/>
      <c r="W37" s="2">
        <f>IF(S36&gt;1,5,0)</f>
        <v>0</v>
      </c>
      <c r="X37" s="101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</row>
    <row r="38" spans="1:37" s="2" customFormat="1" ht="15" customHeight="1" x14ac:dyDescent="0.25">
      <c r="A38" s="312" t="s">
        <v>143</v>
      </c>
      <c r="B38" s="275" t="s">
        <v>136</v>
      </c>
      <c r="C38" s="404">
        <f>C$80</f>
        <v>0</v>
      </c>
      <c r="D38" s="404">
        <f t="shared" ref="D38:H38" si="18">D$80</f>
        <v>0</v>
      </c>
      <c r="E38" s="404">
        <f t="shared" si="18"/>
        <v>0</v>
      </c>
      <c r="F38" s="404">
        <f t="shared" si="18"/>
        <v>0</v>
      </c>
      <c r="G38" s="404">
        <f t="shared" si="18"/>
        <v>0</v>
      </c>
      <c r="H38" s="405">
        <f t="shared" si="18"/>
        <v>0</v>
      </c>
      <c r="I38" s="312" t="str">
        <f t="shared" si="7"/>
        <v>Franchise rentier AVS</v>
      </c>
      <c r="J38" s="275" t="s">
        <v>136</v>
      </c>
      <c r="K38" s="404">
        <f>K$80</f>
        <v>0</v>
      </c>
      <c r="L38" s="404">
        <f t="shared" ref="L38:P38" si="19">L$80</f>
        <v>0</v>
      </c>
      <c r="M38" s="404">
        <f t="shared" si="19"/>
        <v>0</v>
      </c>
      <c r="N38" s="404">
        <f t="shared" si="19"/>
        <v>0</v>
      </c>
      <c r="O38" s="404">
        <f t="shared" si="19"/>
        <v>0</v>
      </c>
      <c r="P38" s="405">
        <f t="shared" si="19"/>
        <v>0</v>
      </c>
      <c r="Q38" s="307">
        <f>SUM(C38:H38)+SUM(K38:P38)</f>
        <v>0</v>
      </c>
      <c r="R38" s="57"/>
      <c r="S38" s="470"/>
      <c r="T38" s="471"/>
      <c r="U38" s="472"/>
      <c r="V38" s="369"/>
      <c r="W38" s="57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</row>
    <row r="39" spans="1:37" s="6" customFormat="1" ht="15" customHeight="1" x14ac:dyDescent="0.25">
      <c r="A39" s="315" t="s">
        <v>144</v>
      </c>
      <c r="B39" s="274" t="s">
        <v>136</v>
      </c>
      <c r="C39" s="291">
        <f>C37-C36-C35-C38</f>
        <v>0</v>
      </c>
      <c r="D39" s="291">
        <f t="shared" ref="D39:H39" si="20">D37-D36-D35-D38</f>
        <v>0</v>
      </c>
      <c r="E39" s="291">
        <f t="shared" si="20"/>
        <v>0</v>
      </c>
      <c r="F39" s="291">
        <f t="shared" si="20"/>
        <v>0</v>
      </c>
      <c r="G39" s="291">
        <f t="shared" si="20"/>
        <v>0</v>
      </c>
      <c r="H39" s="242">
        <f t="shared" si="20"/>
        <v>0</v>
      </c>
      <c r="I39" s="315" t="str">
        <f t="shared" si="7"/>
        <v>AVS montant brut</v>
      </c>
      <c r="J39" s="274" t="s">
        <v>136</v>
      </c>
      <c r="K39" s="291">
        <f t="shared" ref="K39:P39" si="21">K37-K36-K35-K38</f>
        <v>0</v>
      </c>
      <c r="L39" s="291">
        <f t="shared" si="21"/>
        <v>0</v>
      </c>
      <c r="M39" s="291">
        <f t="shared" si="21"/>
        <v>0</v>
      </c>
      <c r="N39" s="306">
        <f t="shared" si="21"/>
        <v>0</v>
      </c>
      <c r="O39" s="291">
        <f t="shared" si="21"/>
        <v>0</v>
      </c>
      <c r="P39" s="242">
        <f t="shared" si="21"/>
        <v>0</v>
      </c>
      <c r="Q39" s="242">
        <f>ROUND((SUM(C39:H39)+SUM(K39:P39))*20,0)/20</f>
        <v>0</v>
      </c>
      <c r="R39" s="79"/>
      <c r="S39" s="470"/>
      <c r="T39" s="471"/>
      <c r="U39" s="472"/>
      <c r="V39" s="369"/>
      <c r="W39" s="79"/>
      <c r="X39" s="2"/>
      <c r="Y39" s="106"/>
      <c r="Z39" s="106"/>
      <c r="AA39" s="106"/>
      <c r="AB39" s="106"/>
      <c r="AC39" s="106"/>
      <c r="AD39" s="106"/>
      <c r="AE39" s="64"/>
      <c r="AF39" s="64"/>
    </row>
    <row r="40" spans="1:37" s="2" customFormat="1" ht="15" customHeight="1" thickBot="1" x14ac:dyDescent="0.3">
      <c r="A40" s="312" t="str">
        <f>CONCATENATE("AVS/AI/APG ",T8*100,"%")</f>
        <v>AVS/AI/APG 0%</v>
      </c>
      <c r="B40" s="276" t="s">
        <v>136</v>
      </c>
      <c r="C40" s="234">
        <f>C$39*-$T$8</f>
        <v>0</v>
      </c>
      <c r="D40" s="234">
        <f t="shared" ref="D40:H40" si="22">D$39*-$T$8</f>
        <v>0</v>
      </c>
      <c r="E40" s="234">
        <f t="shared" si="22"/>
        <v>0</v>
      </c>
      <c r="F40" s="234">
        <f t="shared" si="22"/>
        <v>0</v>
      </c>
      <c r="G40" s="234">
        <f t="shared" si="22"/>
        <v>0</v>
      </c>
      <c r="H40" s="235">
        <f t="shared" si="22"/>
        <v>0</v>
      </c>
      <c r="I40" s="327" t="str">
        <f t="shared" si="7"/>
        <v>AVS/AI/APG 0%</v>
      </c>
      <c r="J40" s="276" t="s">
        <v>136</v>
      </c>
      <c r="K40" s="234">
        <f t="shared" ref="K40:P40" si="23">K$39*-$T$8</f>
        <v>0</v>
      </c>
      <c r="L40" s="234">
        <f t="shared" si="23"/>
        <v>0</v>
      </c>
      <c r="M40" s="234">
        <f t="shared" si="23"/>
        <v>0</v>
      </c>
      <c r="N40" s="236">
        <f t="shared" si="23"/>
        <v>0</v>
      </c>
      <c r="O40" s="234">
        <f t="shared" si="23"/>
        <v>0</v>
      </c>
      <c r="P40" s="235">
        <f t="shared" si="23"/>
        <v>0</v>
      </c>
      <c r="Q40" s="239">
        <f t="shared" ref="Q40:Q48" si="24">ROUND((SUM(C40:H40)+SUM(K40:P40))*20,0)/20</f>
        <v>0</v>
      </c>
      <c r="R40" s="65"/>
      <c r="S40" s="470"/>
      <c r="T40" s="471"/>
      <c r="U40" s="472"/>
      <c r="V40" s="369"/>
      <c r="W40" s="65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</row>
    <row r="41" spans="1:37" s="6" customFormat="1" ht="15" customHeight="1" x14ac:dyDescent="0.25">
      <c r="A41" s="312" t="str">
        <f>CONCATENATE("AC ",T9*100,"%")</f>
        <v>AC 0%</v>
      </c>
      <c r="B41" s="271" t="s">
        <v>136</v>
      </c>
      <c r="C41" s="237">
        <f>IF(C$38&lt;&gt;0,0,C$39*$T$9*-1)</f>
        <v>0</v>
      </c>
      <c r="D41" s="237">
        <f t="shared" ref="D41:H41" si="25">IF(D$38&lt;&gt;0,0,D$39*$T$9*-1)</f>
        <v>0</v>
      </c>
      <c r="E41" s="237">
        <f t="shared" si="25"/>
        <v>0</v>
      </c>
      <c r="F41" s="237">
        <f t="shared" si="25"/>
        <v>0</v>
      </c>
      <c r="G41" s="237">
        <f t="shared" si="25"/>
        <v>0</v>
      </c>
      <c r="H41" s="238">
        <f t="shared" si="25"/>
        <v>0</v>
      </c>
      <c r="I41" s="327" t="str">
        <f t="shared" si="7"/>
        <v>AC 0%</v>
      </c>
      <c r="J41" s="271" t="s">
        <v>136</v>
      </c>
      <c r="K41" s="237">
        <f>IF(K$38&lt;&gt;0,0,K$39*$T$9*-1)</f>
        <v>0</v>
      </c>
      <c r="L41" s="237">
        <f t="shared" ref="L41:P41" si="26">IF(L$38&lt;&gt;0,0,L$39*$T$9*-1)</f>
        <v>0</v>
      </c>
      <c r="M41" s="237">
        <f t="shared" si="26"/>
        <v>0</v>
      </c>
      <c r="N41" s="237">
        <f t="shared" si="26"/>
        <v>0</v>
      </c>
      <c r="O41" s="237">
        <f t="shared" si="26"/>
        <v>0</v>
      </c>
      <c r="P41" s="238">
        <f t="shared" si="26"/>
        <v>0</v>
      </c>
      <c r="Q41" s="240">
        <f t="shared" si="24"/>
        <v>0</v>
      </c>
      <c r="R41" s="79"/>
      <c r="S41" s="487"/>
      <c r="T41" s="487"/>
      <c r="U41" s="487"/>
      <c r="V41" s="65"/>
      <c r="X41" s="2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</row>
    <row r="42" spans="1:37" s="2" customFormat="1" ht="15" customHeight="1" x14ac:dyDescent="0.25">
      <c r="A42" s="312" t="str">
        <f>IF(T11&lt;0.01,"ANP",(CONCATENATE("ANP ",T11*100,"%")))</f>
        <v>ANP</v>
      </c>
      <c r="B42" s="271" t="s">
        <v>136</v>
      </c>
      <c r="C42" s="382">
        <f t="shared" ref="C42:H42" si="27">(C$37-C$34-C$35-C$36)*-$T$11</f>
        <v>0</v>
      </c>
      <c r="D42" s="382">
        <f t="shared" si="27"/>
        <v>0</v>
      </c>
      <c r="E42" s="382">
        <f t="shared" si="27"/>
        <v>0</v>
      </c>
      <c r="F42" s="382">
        <f t="shared" si="27"/>
        <v>0</v>
      </c>
      <c r="G42" s="382">
        <f t="shared" si="27"/>
        <v>0</v>
      </c>
      <c r="H42" s="383">
        <f t="shared" si="27"/>
        <v>0</v>
      </c>
      <c r="I42" s="327" t="str">
        <f t="shared" si="7"/>
        <v>ANP</v>
      </c>
      <c r="J42" s="271" t="s">
        <v>136</v>
      </c>
      <c r="K42" s="382">
        <f t="shared" ref="K42:P42" si="28">(K$37-K$34-K$35-K$36)*-$T$11</f>
        <v>0</v>
      </c>
      <c r="L42" s="382">
        <f t="shared" si="28"/>
        <v>0</v>
      </c>
      <c r="M42" s="382">
        <f t="shared" si="28"/>
        <v>0</v>
      </c>
      <c r="N42" s="386">
        <f t="shared" si="28"/>
        <v>0</v>
      </c>
      <c r="O42" s="382">
        <f t="shared" si="28"/>
        <v>0</v>
      </c>
      <c r="P42" s="383">
        <f t="shared" si="28"/>
        <v>0</v>
      </c>
      <c r="Q42" s="240">
        <f t="shared" si="24"/>
        <v>0</v>
      </c>
      <c r="R42" s="65"/>
      <c r="S42" s="488"/>
      <c r="T42" s="488"/>
      <c r="U42" s="488"/>
      <c r="V42" s="79"/>
      <c r="W42" s="2">
        <f>IF(S41&gt;1,1,0)</f>
        <v>0</v>
      </c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</row>
    <row r="43" spans="1:37" s="2" customFormat="1" ht="15" customHeight="1" x14ac:dyDescent="0.25">
      <c r="A43" s="312" t="str">
        <f>IF(T13&lt;0.0000001,"IJM",(CONCATENATE("IJM ",T13*100,"%")))</f>
        <v>IJM</v>
      </c>
      <c r="B43" s="271" t="s">
        <v>136</v>
      </c>
      <c r="C43" s="382">
        <f t="shared" ref="C43:H43" si="29">(C$37-C$34-C$35-C$36)*-$T$13</f>
        <v>0</v>
      </c>
      <c r="D43" s="382">
        <f t="shared" si="29"/>
        <v>0</v>
      </c>
      <c r="E43" s="382">
        <f t="shared" si="29"/>
        <v>0</v>
      </c>
      <c r="F43" s="382">
        <f t="shared" si="29"/>
        <v>0</v>
      </c>
      <c r="G43" s="382">
        <f t="shared" si="29"/>
        <v>0</v>
      </c>
      <c r="H43" s="383">
        <f t="shared" si="29"/>
        <v>0</v>
      </c>
      <c r="I43" s="327" t="str">
        <f t="shared" si="7"/>
        <v>IJM</v>
      </c>
      <c r="J43" s="271" t="s">
        <v>136</v>
      </c>
      <c r="K43" s="382">
        <f t="shared" ref="K43:P43" si="30">(K$37-K$34-K$35-K$36)*-$T$13</f>
        <v>0</v>
      </c>
      <c r="L43" s="382">
        <f t="shared" si="30"/>
        <v>0</v>
      </c>
      <c r="M43" s="382">
        <f t="shared" si="30"/>
        <v>0</v>
      </c>
      <c r="N43" s="386">
        <f t="shared" si="30"/>
        <v>0</v>
      </c>
      <c r="O43" s="382">
        <f t="shared" si="30"/>
        <v>0</v>
      </c>
      <c r="P43" s="383">
        <f t="shared" si="30"/>
        <v>0</v>
      </c>
      <c r="Q43" s="240">
        <f t="shared" si="24"/>
        <v>0</v>
      </c>
      <c r="R43" s="65"/>
      <c r="S43" s="488"/>
      <c r="T43" s="488"/>
      <c r="U43" s="488"/>
      <c r="V43" s="65"/>
      <c r="W43" s="65"/>
      <c r="X43" s="101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245"/>
    </row>
    <row r="44" spans="1:37" s="2" customFormat="1" ht="15" customHeight="1" x14ac:dyDescent="0.25">
      <c r="A44" s="312" t="str">
        <f>IF(T16&gt;0.01%,(CONCATENATE("LPP ",T16*100,"%")),IF(T15&lt;0.01,"LPP",(CONCATENATE("LPP ","CHF ",T15))))</f>
        <v>LPP</v>
      </c>
      <c r="B44" s="271" t="s">
        <v>136</v>
      </c>
      <c r="C44" s="382">
        <f t="shared" ref="C44:H44" si="31">IF(OR(C$39=0,C$67="oui",DATEDIF($F$7,$A$21,"Y")&lt;18),0,IF($T$16&gt;0.1%,-$T$16*C$39,-$T$15))</f>
        <v>0</v>
      </c>
      <c r="D44" s="382">
        <f t="shared" si="31"/>
        <v>0</v>
      </c>
      <c r="E44" s="382">
        <f t="shared" si="31"/>
        <v>0</v>
      </c>
      <c r="F44" s="382">
        <f t="shared" si="31"/>
        <v>0</v>
      </c>
      <c r="G44" s="382">
        <f t="shared" si="31"/>
        <v>0</v>
      </c>
      <c r="H44" s="383">
        <f t="shared" si="31"/>
        <v>0</v>
      </c>
      <c r="I44" s="327" t="str">
        <f t="shared" si="7"/>
        <v>LPP</v>
      </c>
      <c r="J44" s="271" t="s">
        <v>136</v>
      </c>
      <c r="K44" s="382">
        <f t="shared" ref="K44:P44" si="32">IF(OR(K$39=0,K$67="oui",DATEDIF($F$7,$A$21,"Y")&lt;18),0,IF($T$16&gt;0.1%,-$T$16*K$39,-$T$15))</f>
        <v>0</v>
      </c>
      <c r="L44" s="382">
        <f t="shared" si="32"/>
        <v>0</v>
      </c>
      <c r="M44" s="382">
        <f t="shared" si="32"/>
        <v>0</v>
      </c>
      <c r="N44" s="382">
        <f t="shared" si="32"/>
        <v>0</v>
      </c>
      <c r="O44" s="382">
        <f t="shared" si="32"/>
        <v>0</v>
      </c>
      <c r="P44" s="383">
        <f t="shared" si="32"/>
        <v>0</v>
      </c>
      <c r="Q44" s="240">
        <f t="shared" si="24"/>
        <v>0</v>
      </c>
      <c r="R44" s="65"/>
      <c r="S44" s="65"/>
      <c r="T44" s="65"/>
      <c r="U44" s="65"/>
      <c r="V44" s="65"/>
      <c r="W44" s="101"/>
      <c r="X44" s="59"/>
      <c r="Y44" s="59"/>
      <c r="Z44" s="59"/>
      <c r="AA44" s="59"/>
      <c r="AB44" s="59"/>
      <c r="AC44" s="59"/>
      <c r="AD44" s="59"/>
      <c r="AE44" s="59"/>
    </row>
    <row r="45" spans="1:37" s="2" customFormat="1" ht="15" customHeight="1" x14ac:dyDescent="0.25">
      <c r="A45" s="312" t="str">
        <f>IF(G13="à choisir","",IF(OR(Y9&lt;5%,G13="ordinaire",)," ",(CONCATENATE("Impôt selon LTN ",Y9*100,"%"))))</f>
        <v/>
      </c>
      <c r="B45" s="270" t="str">
        <f>IF(A45="Impôt selon LTN 5%","CHF"," ")</f>
        <v xml:space="preserve"> </v>
      </c>
      <c r="C45" s="382">
        <f t="shared" ref="C45:H45" si="33">IF(C39+C38=0,0,IF(C$67="no",C39*-$Y$9,IF(AND(C38&gt;1),(C39+C38)*-$Y$9,C39*-$Y$9)))</f>
        <v>0</v>
      </c>
      <c r="D45" s="382">
        <f t="shared" si="33"/>
        <v>0</v>
      </c>
      <c r="E45" s="382">
        <f t="shared" si="33"/>
        <v>0</v>
      </c>
      <c r="F45" s="382">
        <f t="shared" si="33"/>
        <v>0</v>
      </c>
      <c r="G45" s="382">
        <f t="shared" si="33"/>
        <v>0</v>
      </c>
      <c r="H45" s="383">
        <f t="shared" si="33"/>
        <v>0</v>
      </c>
      <c r="I45" s="312" t="str">
        <f t="shared" si="7"/>
        <v/>
      </c>
      <c r="J45" s="270" t="str">
        <f>IF(I45="QST gem. BGSA 5%","CHF"," ")</f>
        <v xml:space="preserve"> </v>
      </c>
      <c r="K45" s="382">
        <f t="shared" ref="K45:P45" si="34">IF(K39+K38=0,0,IF(K$67="no",K39*-$Y$9,IF(AND(K38&gt;1),(K39+K38)*-$Y$9,K39*-$Y$9)))</f>
        <v>0</v>
      </c>
      <c r="L45" s="382">
        <f t="shared" si="34"/>
        <v>0</v>
      </c>
      <c r="M45" s="382">
        <f t="shared" si="34"/>
        <v>0</v>
      </c>
      <c r="N45" s="382">
        <f t="shared" si="34"/>
        <v>0</v>
      </c>
      <c r="O45" s="382">
        <f t="shared" si="34"/>
        <v>0</v>
      </c>
      <c r="P45" s="383">
        <f t="shared" si="34"/>
        <v>0</v>
      </c>
      <c r="Q45" s="304">
        <f>ROUND((SUM(C45:H45)+SUM(K45:P45))*20,0)/20</f>
        <v>0</v>
      </c>
      <c r="R45" s="65"/>
      <c r="S45" s="65"/>
      <c r="T45" s="65"/>
      <c r="U45" s="65"/>
      <c r="V45" s="65"/>
      <c r="W45" s="79">
        <f>SUM(W21:W43)</f>
        <v>0</v>
      </c>
      <c r="X45" s="58"/>
      <c r="Y45" s="59"/>
      <c r="Z45" s="59"/>
      <c r="AA45" s="59"/>
      <c r="AB45" s="59"/>
      <c r="AC45" s="59"/>
      <c r="AD45" s="59"/>
      <c r="AE45" s="59"/>
    </row>
    <row r="46" spans="1:37" s="2" customFormat="1" ht="15" customHeight="1" x14ac:dyDescent="0.25">
      <c r="A46" s="312" t="str">
        <f>IF(G13="ordinaire","Impôt à la source","")</f>
        <v/>
      </c>
      <c r="B46" s="270" t="str">
        <f>IF(A46="Impôt à la source","CHF"," ")</f>
        <v xml:space="preserve"> </v>
      </c>
      <c r="C46" s="382"/>
      <c r="D46" s="382"/>
      <c r="E46" s="382"/>
      <c r="F46" s="382"/>
      <c r="G46" s="382"/>
      <c r="H46" s="385"/>
      <c r="I46" s="327" t="str">
        <f t="shared" si="7"/>
        <v/>
      </c>
      <c r="J46" s="270" t="str">
        <f>IF(I46="QST","CHF"," ")</f>
        <v xml:space="preserve"> </v>
      </c>
      <c r="K46" s="384"/>
      <c r="L46" s="384"/>
      <c r="M46" s="384"/>
      <c r="N46" s="386"/>
      <c r="O46" s="384"/>
      <c r="P46" s="385"/>
      <c r="Q46" s="70">
        <f t="shared" si="24"/>
        <v>0</v>
      </c>
      <c r="R46" s="65"/>
      <c r="S46" s="65"/>
      <c r="T46" s="65"/>
      <c r="U46" s="65"/>
      <c r="V46" s="65"/>
      <c r="W46" s="101"/>
      <c r="X46" s="59"/>
      <c r="Y46" s="59"/>
      <c r="Z46" s="59"/>
      <c r="AA46" s="59"/>
      <c r="AB46" s="59"/>
      <c r="AC46" s="59"/>
      <c r="AD46" s="59"/>
      <c r="AE46" s="59"/>
    </row>
    <row r="47" spans="1:37" s="2" customFormat="1" ht="15" customHeight="1" x14ac:dyDescent="0.25">
      <c r="A47" s="312" t="s">
        <v>145</v>
      </c>
      <c r="B47" s="271" t="s">
        <v>136</v>
      </c>
      <c r="C47" s="382"/>
      <c r="D47" s="384"/>
      <c r="E47" s="384"/>
      <c r="F47" s="384"/>
      <c r="G47" s="384"/>
      <c r="H47" s="385"/>
      <c r="I47" s="327" t="str">
        <f t="shared" si="7"/>
        <v>Frais effectifs</v>
      </c>
      <c r="J47" s="271" t="s">
        <v>136</v>
      </c>
      <c r="K47" s="384"/>
      <c r="L47" s="384"/>
      <c r="M47" s="384"/>
      <c r="N47" s="386"/>
      <c r="O47" s="384"/>
      <c r="P47" s="385"/>
      <c r="Q47" s="70">
        <f t="shared" si="24"/>
        <v>0</v>
      </c>
      <c r="R47" s="172"/>
      <c r="S47" s="65"/>
      <c r="T47" s="65"/>
      <c r="U47" s="65"/>
      <c r="V47" s="172"/>
      <c r="W47" s="101"/>
      <c r="X47" s="58"/>
      <c r="Y47" s="59"/>
      <c r="Z47" s="59"/>
      <c r="AA47" s="59"/>
      <c r="AB47" s="59"/>
      <c r="AC47" s="59"/>
      <c r="AD47" s="59"/>
      <c r="AE47" s="59"/>
    </row>
    <row r="48" spans="1:37" s="2" customFormat="1" ht="15" customHeight="1" x14ac:dyDescent="0.25">
      <c r="A48" s="316" t="s">
        <v>135</v>
      </c>
      <c r="B48" s="275" t="s">
        <v>136</v>
      </c>
      <c r="C48" s="382">
        <f>-C31</f>
        <v>0</v>
      </c>
      <c r="D48" s="384">
        <f t="shared" ref="D48:H48" si="35">-D31</f>
        <v>0</v>
      </c>
      <c r="E48" s="384">
        <f t="shared" si="35"/>
        <v>0</v>
      </c>
      <c r="F48" s="384">
        <f t="shared" si="35"/>
        <v>0</v>
      </c>
      <c r="G48" s="384">
        <f t="shared" si="35"/>
        <v>0</v>
      </c>
      <c r="H48" s="385">
        <f t="shared" si="35"/>
        <v>0</v>
      </c>
      <c r="I48" s="328" t="str">
        <f t="shared" si="7"/>
        <v>Repas &amp; logement</v>
      </c>
      <c r="J48" s="275" t="s">
        <v>136</v>
      </c>
      <c r="K48" s="384">
        <f t="shared" ref="K48:P48" si="36">-K31</f>
        <v>0</v>
      </c>
      <c r="L48" s="384">
        <f t="shared" si="36"/>
        <v>0</v>
      </c>
      <c r="M48" s="384">
        <f t="shared" si="36"/>
        <v>0</v>
      </c>
      <c r="N48" s="386">
        <f t="shared" si="36"/>
        <v>0</v>
      </c>
      <c r="O48" s="384">
        <f t="shared" si="36"/>
        <v>0</v>
      </c>
      <c r="P48" s="385">
        <f t="shared" si="36"/>
        <v>0</v>
      </c>
      <c r="Q48" s="241">
        <f t="shared" si="24"/>
        <v>0</v>
      </c>
      <c r="R48" s="57"/>
      <c r="S48" s="172"/>
      <c r="T48" s="172"/>
      <c r="U48" s="172"/>
      <c r="V48" s="57"/>
      <c r="W48" s="101"/>
      <c r="X48" s="58"/>
      <c r="Y48" s="59"/>
      <c r="Z48" s="59"/>
      <c r="AA48" s="59"/>
      <c r="AB48" s="59"/>
      <c r="AC48" s="59"/>
      <c r="AD48" s="59"/>
      <c r="AE48" s="59"/>
    </row>
    <row r="49" spans="1:31" s="2" customFormat="1" ht="15" customHeight="1" x14ac:dyDescent="0.25">
      <c r="A49" s="335" t="s">
        <v>146</v>
      </c>
      <c r="B49" s="336" t="s">
        <v>136</v>
      </c>
      <c r="C49" s="331">
        <f>MROUND(C37+(SUM(C40:C46)+C47+C48),0.05)</f>
        <v>0</v>
      </c>
      <c r="D49" s="331">
        <f t="shared" ref="D49:H49" si="37">MROUND(D37+(SUM(D40:D46)+D47+D48),0.05)</f>
        <v>0</v>
      </c>
      <c r="E49" s="331">
        <f t="shared" si="37"/>
        <v>0</v>
      </c>
      <c r="F49" s="331">
        <f t="shared" si="37"/>
        <v>0</v>
      </c>
      <c r="G49" s="331">
        <f t="shared" si="37"/>
        <v>0</v>
      </c>
      <c r="H49" s="333">
        <f t="shared" si="37"/>
        <v>0</v>
      </c>
      <c r="I49" s="335" t="str">
        <f t="shared" si="7"/>
        <v>Salaire net</v>
      </c>
      <c r="J49" s="336" t="s">
        <v>136</v>
      </c>
      <c r="K49" s="331">
        <f t="shared" ref="K49:P49" si="38">MROUND(K37+(SUM(K40:K46)+K47+K48),0.05)</f>
        <v>0</v>
      </c>
      <c r="L49" s="331">
        <f t="shared" si="38"/>
        <v>0</v>
      </c>
      <c r="M49" s="331">
        <f t="shared" si="38"/>
        <v>0</v>
      </c>
      <c r="N49" s="331">
        <f t="shared" si="38"/>
        <v>0</v>
      </c>
      <c r="O49" s="331">
        <f t="shared" si="38"/>
        <v>0</v>
      </c>
      <c r="P49" s="333">
        <f t="shared" si="38"/>
        <v>0</v>
      </c>
      <c r="Q49" s="242">
        <f>SUM(C49:H49)+SUM(K49:P49)</f>
        <v>0</v>
      </c>
      <c r="R49" s="57"/>
      <c r="S49" s="57"/>
      <c r="T49" s="57"/>
      <c r="U49" s="57"/>
      <c r="V49" s="57"/>
      <c r="W49" s="101"/>
      <c r="X49" s="58"/>
      <c r="Y49" s="59"/>
      <c r="Z49" s="59"/>
      <c r="AA49" s="59"/>
      <c r="AB49" s="59"/>
      <c r="AC49" s="59"/>
      <c r="AD49" s="59"/>
      <c r="AE49" s="59"/>
    </row>
    <row r="50" spans="1:31" s="2" customFormat="1" ht="15" customHeight="1" x14ac:dyDescent="0.25">
      <c r="A50" s="337" t="s">
        <v>147</v>
      </c>
      <c r="B50" s="330" t="s">
        <v>136</v>
      </c>
      <c r="C50" s="382"/>
      <c r="D50" s="382"/>
      <c r="E50" s="382"/>
      <c r="F50" s="382"/>
      <c r="G50" s="382"/>
      <c r="H50" s="383"/>
      <c r="I50" s="337" t="str">
        <f t="shared" si="7"/>
        <v>Salaire net payé</v>
      </c>
      <c r="J50" s="330" t="s">
        <v>136</v>
      </c>
      <c r="K50" s="382"/>
      <c r="L50" s="382"/>
      <c r="M50" s="382"/>
      <c r="N50" s="382"/>
      <c r="O50" s="382"/>
      <c r="P50" s="383"/>
      <c r="Q50" s="309">
        <f>SUM(C50:H50)+SUM(K50:P50)</f>
        <v>0</v>
      </c>
      <c r="R50" s="57"/>
      <c r="S50" s="57"/>
      <c r="T50" s="57"/>
      <c r="U50" s="57"/>
      <c r="V50" s="57"/>
      <c r="W50" s="101"/>
      <c r="X50" s="58"/>
      <c r="Y50" s="59"/>
      <c r="Z50" s="59"/>
      <c r="AA50" s="59"/>
      <c r="AB50" s="59"/>
      <c r="AC50" s="59"/>
      <c r="AD50" s="59"/>
      <c r="AE50" s="59"/>
    </row>
    <row r="51" spans="1:31" s="2" customFormat="1" ht="15" customHeight="1" x14ac:dyDescent="0.25">
      <c r="A51" s="338" t="s">
        <v>148</v>
      </c>
      <c r="B51" s="339" t="s">
        <v>136</v>
      </c>
      <c r="C51" s="332">
        <f>IF(C50=0,0,C50-C49)</f>
        <v>0</v>
      </c>
      <c r="D51" s="332">
        <f t="shared" ref="D51:H51" si="39">IF(D50=0,0,D50-D49)</f>
        <v>0</v>
      </c>
      <c r="E51" s="332">
        <f t="shared" si="39"/>
        <v>0</v>
      </c>
      <c r="F51" s="332">
        <f t="shared" si="39"/>
        <v>0</v>
      </c>
      <c r="G51" s="332">
        <f t="shared" si="39"/>
        <v>0</v>
      </c>
      <c r="H51" s="334">
        <f t="shared" si="39"/>
        <v>0</v>
      </c>
      <c r="I51" s="338" t="str">
        <f t="shared" si="7"/>
        <v>Différence</v>
      </c>
      <c r="J51" s="339" t="s">
        <v>136</v>
      </c>
      <c r="K51" s="332">
        <f t="shared" ref="K51:P51" si="40">IF(K50=0,0,K50-K49)</f>
        <v>0</v>
      </c>
      <c r="L51" s="332">
        <f t="shared" si="40"/>
        <v>0</v>
      </c>
      <c r="M51" s="332">
        <f t="shared" si="40"/>
        <v>0</v>
      </c>
      <c r="N51" s="332">
        <f t="shared" si="40"/>
        <v>0</v>
      </c>
      <c r="O51" s="332">
        <f t="shared" si="40"/>
        <v>0</v>
      </c>
      <c r="P51" s="334">
        <f t="shared" si="40"/>
        <v>0</v>
      </c>
      <c r="Q51" s="309">
        <f>SUM(C51:H51)+SUM(K51:P51)</f>
        <v>0</v>
      </c>
      <c r="R51" s="57"/>
      <c r="S51" s="57"/>
      <c r="T51" s="57"/>
      <c r="U51" s="57"/>
      <c r="V51" s="57"/>
      <c r="W51" s="101"/>
      <c r="X51" s="58"/>
      <c r="Y51" s="59"/>
      <c r="Z51" s="59"/>
      <c r="AA51" s="59"/>
      <c r="AB51" s="59"/>
      <c r="AC51" s="59"/>
      <c r="AD51" s="59"/>
      <c r="AE51" s="59"/>
    </row>
    <row r="52" spans="1:31" s="2" customFormat="1" ht="15" customHeight="1" x14ac:dyDescent="0.25">
      <c r="A52" s="71" t="s">
        <v>149</v>
      </c>
      <c r="B52" s="326"/>
      <c r="C52" s="458"/>
      <c r="D52" s="458"/>
      <c r="E52" s="458"/>
      <c r="F52" s="458"/>
      <c r="G52" s="458"/>
      <c r="H52" s="462"/>
      <c r="I52" s="71" t="str">
        <f t="shared" si="7"/>
        <v>Remarques</v>
      </c>
      <c r="J52" s="326"/>
      <c r="K52" s="458"/>
      <c r="L52" s="458"/>
      <c r="M52" s="458"/>
      <c r="N52" s="458"/>
      <c r="O52" s="464"/>
      <c r="P52" s="462"/>
      <c r="Q52" s="72">
        <f t="shared" ref="Q52" si="41">SUM(C52:H52)+SUM(K52:P52)</f>
        <v>0</v>
      </c>
      <c r="R52" s="65"/>
      <c r="S52" s="57"/>
      <c r="T52" s="57"/>
      <c r="U52" s="57"/>
      <c r="V52" s="65"/>
      <c r="W52" s="101"/>
      <c r="X52" s="59"/>
      <c r="Y52" s="59"/>
      <c r="Z52" s="59"/>
      <c r="AA52" s="59"/>
      <c r="AB52" s="59"/>
      <c r="AC52" s="59"/>
      <c r="AD52" s="59"/>
      <c r="AE52" s="59"/>
    </row>
    <row r="53" spans="1:31" s="6" customFormat="1" ht="15" customHeight="1" thickBot="1" x14ac:dyDescent="0.3">
      <c r="A53" s="317"/>
      <c r="B53" s="277"/>
      <c r="C53" s="459"/>
      <c r="D53" s="459"/>
      <c r="E53" s="459"/>
      <c r="F53" s="459"/>
      <c r="G53" s="459"/>
      <c r="H53" s="463"/>
      <c r="I53" s="317"/>
      <c r="J53" s="277"/>
      <c r="K53" s="459"/>
      <c r="L53" s="459"/>
      <c r="M53" s="459"/>
      <c r="N53" s="459"/>
      <c r="O53" s="465"/>
      <c r="P53" s="463"/>
      <c r="Q53" s="73"/>
      <c r="R53" s="79"/>
      <c r="S53" s="65"/>
      <c r="T53" s="65"/>
      <c r="U53" s="65"/>
      <c r="V53" s="79"/>
      <c r="W53" s="101"/>
      <c r="X53" s="59"/>
      <c r="Y53" s="59"/>
      <c r="Z53" s="59"/>
      <c r="AA53" s="59"/>
      <c r="AB53" s="59"/>
      <c r="AC53" s="59"/>
      <c r="AD53" s="64"/>
      <c r="AE53" s="64"/>
    </row>
    <row r="54" spans="1:31" s="2" customFormat="1" ht="5.15" customHeight="1" thickBot="1" x14ac:dyDescent="0.35">
      <c r="A54" s="53"/>
      <c r="B54" s="53"/>
      <c r="C54" s="74"/>
      <c r="D54" s="54"/>
      <c r="E54" s="55"/>
      <c r="F54" s="54"/>
      <c r="G54" s="54"/>
      <c r="H54" s="56"/>
      <c r="I54" s="53"/>
      <c r="J54" s="53"/>
      <c r="K54" s="56"/>
      <c r="L54" s="56"/>
      <c r="M54" s="56"/>
      <c r="N54" s="74"/>
      <c r="O54" s="54"/>
      <c r="P54" s="54"/>
      <c r="Q54" s="54">
        <f>SUM(C54:H54)+SUM(K54:P54)</f>
        <v>0</v>
      </c>
      <c r="R54" s="57"/>
      <c r="S54" s="79"/>
      <c r="T54" s="79"/>
      <c r="U54" s="79"/>
      <c r="V54" s="57"/>
      <c r="W54" s="102"/>
      <c r="X54" s="63"/>
      <c r="Y54" s="64"/>
      <c r="Z54" s="64"/>
      <c r="AA54" s="64"/>
      <c r="AB54" s="64"/>
      <c r="AC54" s="64"/>
      <c r="AD54" s="59"/>
      <c r="AE54" s="59"/>
    </row>
    <row r="55" spans="1:31" s="2" customFormat="1" ht="15" customHeight="1" x14ac:dyDescent="0.25">
      <c r="A55" s="318" t="s">
        <v>150</v>
      </c>
      <c r="B55" s="278"/>
      <c r="C55" s="85">
        <f t="shared" ref="C55:H55" si="42">C21</f>
        <v>46023</v>
      </c>
      <c r="D55" s="86">
        <f t="shared" si="42"/>
        <v>46054</v>
      </c>
      <c r="E55" s="86">
        <f t="shared" si="42"/>
        <v>46082</v>
      </c>
      <c r="F55" s="86">
        <f t="shared" si="42"/>
        <v>46113</v>
      </c>
      <c r="G55" s="86">
        <f t="shared" si="42"/>
        <v>46143</v>
      </c>
      <c r="H55" s="87">
        <f t="shared" si="42"/>
        <v>46174</v>
      </c>
      <c r="I55" s="318" t="str">
        <f>A55</f>
        <v>Données pour AssistMe:</v>
      </c>
      <c r="J55" s="278"/>
      <c r="K55" s="86">
        <f t="shared" ref="K55:P55" si="43">K21</f>
        <v>46204</v>
      </c>
      <c r="L55" s="86">
        <f t="shared" si="43"/>
        <v>46235</v>
      </c>
      <c r="M55" s="86">
        <f t="shared" si="43"/>
        <v>46266</v>
      </c>
      <c r="N55" s="88">
        <f t="shared" si="43"/>
        <v>46296</v>
      </c>
      <c r="O55" s="86">
        <f t="shared" si="43"/>
        <v>46327</v>
      </c>
      <c r="P55" s="87">
        <f t="shared" si="43"/>
        <v>46357</v>
      </c>
      <c r="Q55" s="229" t="s">
        <v>134</v>
      </c>
      <c r="R55" s="57"/>
      <c r="S55" s="57"/>
      <c r="T55" s="57"/>
      <c r="U55" s="57"/>
      <c r="V55" s="57"/>
      <c r="W55" s="101"/>
      <c r="X55" s="59"/>
      <c r="Y55" s="59"/>
      <c r="Z55" s="59"/>
      <c r="AA55" s="59"/>
      <c r="AB55" s="59"/>
      <c r="AC55" s="59"/>
      <c r="AD55" s="59"/>
      <c r="AE55" s="59"/>
    </row>
    <row r="56" spans="1:31" s="2" customFormat="1" ht="15" customHeight="1" x14ac:dyDescent="0.25">
      <c r="A56" s="319" t="s">
        <v>151</v>
      </c>
      <c r="B56" s="279" t="s">
        <v>152</v>
      </c>
      <c r="C56" s="292" t="str">
        <f t="shared" ref="C56:H56" si="44">IF($C$16="Salaire horaire",IF($M$8="","",(C25*$P$10)+(C24*$P$7)+C26+C28+(C32+C33)/(IF($M$13&gt;1,((($M$8+$M$13)/2)),$M$8))),"Salaire mensuel")</f>
        <v>Salaire mensuel</v>
      </c>
      <c r="D56" s="292" t="str">
        <f t="shared" si="44"/>
        <v>Salaire mensuel</v>
      </c>
      <c r="E56" s="292" t="str">
        <f t="shared" si="44"/>
        <v>Salaire mensuel</v>
      </c>
      <c r="F56" s="292" t="str">
        <f t="shared" si="44"/>
        <v>Salaire mensuel</v>
      </c>
      <c r="G56" s="292" t="str">
        <f t="shared" si="44"/>
        <v>Salaire mensuel</v>
      </c>
      <c r="H56" s="293" t="str">
        <f t="shared" si="44"/>
        <v>Salaire mensuel</v>
      </c>
      <c r="I56" s="320" t="str">
        <f>A56</f>
        <v>Nombre d'heures</v>
      </c>
      <c r="J56" s="279" t="s">
        <v>153</v>
      </c>
      <c r="K56" s="292" t="str">
        <f t="shared" ref="K56:P56" si="45">IF($C$16="Salaire horaire",IF($M$8="","",(K25*$P$10)+(K24*$P$7)+K26+K28+(K32+K33)/(IF($M$13&gt;1,((($M$8+$M$13)/2)),$M$8))),"Salaire mensuel")</f>
        <v>Salaire mensuel</v>
      </c>
      <c r="L56" s="292" t="str">
        <f t="shared" si="45"/>
        <v>Salaire mensuel</v>
      </c>
      <c r="M56" s="292" t="str">
        <f t="shared" si="45"/>
        <v>Salaire mensuel</v>
      </c>
      <c r="N56" s="292" t="str">
        <f t="shared" si="45"/>
        <v>Salaire mensuel</v>
      </c>
      <c r="O56" s="292" t="str">
        <f t="shared" si="45"/>
        <v>Salaire mensuel</v>
      </c>
      <c r="P56" s="293" t="str">
        <f t="shared" si="45"/>
        <v>Salaire mensuel</v>
      </c>
      <c r="Q56" s="233">
        <f>SUM(C56:H56)+SUM(K56:P56)</f>
        <v>0</v>
      </c>
      <c r="R56" s="57"/>
      <c r="S56" s="57"/>
      <c r="T56" s="57"/>
      <c r="U56" s="57"/>
      <c r="V56" s="57"/>
      <c r="W56" s="101"/>
      <c r="X56" s="59"/>
      <c r="Y56" s="59"/>
      <c r="Z56" s="59"/>
      <c r="AA56" s="59"/>
      <c r="AB56" s="59"/>
      <c r="AC56" s="59"/>
      <c r="AD56" s="59"/>
      <c r="AE56" s="59"/>
    </row>
    <row r="57" spans="1:31" s="2" customFormat="1" ht="15" customHeight="1" x14ac:dyDescent="0.25">
      <c r="A57" s="320" t="s">
        <v>146</v>
      </c>
      <c r="B57" s="280" t="s">
        <v>136</v>
      </c>
      <c r="C57" s="294">
        <f>C49-C48-C47-C46-C36-C35-C34-C31</f>
        <v>0</v>
      </c>
      <c r="D57" s="294">
        <f t="shared" ref="D57:H57" si="46">D49-D48-D47-D46-D36-D35-D34-D31</f>
        <v>0</v>
      </c>
      <c r="E57" s="294">
        <f t="shared" si="46"/>
        <v>0</v>
      </c>
      <c r="F57" s="294">
        <f t="shared" si="46"/>
        <v>0</v>
      </c>
      <c r="G57" s="294">
        <f t="shared" si="46"/>
        <v>0</v>
      </c>
      <c r="H57" s="293">
        <f t="shared" si="46"/>
        <v>0</v>
      </c>
      <c r="I57" s="320" t="str">
        <f>A57</f>
        <v>Salaire net</v>
      </c>
      <c r="J57" s="280" t="s">
        <v>136</v>
      </c>
      <c r="K57" s="60">
        <f t="shared" ref="K57:P57" si="47">K49-K48-K47-K46-K36-K35-K34-K31</f>
        <v>0</v>
      </c>
      <c r="L57" s="60">
        <f t="shared" si="47"/>
        <v>0</v>
      </c>
      <c r="M57" s="60">
        <f t="shared" si="47"/>
        <v>0</v>
      </c>
      <c r="N57" s="301">
        <f t="shared" si="47"/>
        <v>0</v>
      </c>
      <c r="O57" s="60">
        <f t="shared" si="47"/>
        <v>0</v>
      </c>
      <c r="P57" s="61">
        <f t="shared" si="47"/>
        <v>0</v>
      </c>
      <c r="Q57" s="61">
        <f>SUM(C57:H57)+SUM(K57:P57)</f>
        <v>0</v>
      </c>
      <c r="R57" s="57"/>
      <c r="S57" s="57"/>
      <c r="T57" s="57"/>
      <c r="U57" s="57"/>
      <c r="V57" s="57"/>
      <c r="W57" s="101"/>
      <c r="X57" s="58"/>
      <c r="Y57" s="59"/>
      <c r="Z57" s="59"/>
      <c r="AA57" s="59"/>
      <c r="AB57" s="59"/>
      <c r="AC57" s="59"/>
      <c r="AD57" s="59"/>
      <c r="AE57" s="59"/>
    </row>
    <row r="58" spans="1:31" s="2" customFormat="1" ht="15" customHeight="1" thickBot="1" x14ac:dyDescent="0.3">
      <c r="A58" s="321" t="s">
        <v>154</v>
      </c>
      <c r="B58" s="281" t="s">
        <v>136</v>
      </c>
      <c r="C58" s="295">
        <f>IF(C32&gt;0.1,C32-(C32*(SUM($T$8:$T$14)+$Y$9+$T$16))-(C32/IF(C39=0,1,C39)*-C44),IF(C32&lt;-0.1,C32-(C32*(SUM($T$8:$T$14)+$Y$9+$T$16))-(C32/IF(C39=0,1,C39)*-C44),0))</f>
        <v>0</v>
      </c>
      <c r="D58" s="295">
        <f t="shared" ref="D58:H58" si="48">IF(D32&gt;0.1,D32-(D32*(SUM($T$8:$T$14)+$Y$9+$T$16))-(D32/IF(D39=0,1,D39)*-D44),IF(D32&lt;-0.1,D32-(D32*(SUM($T$8:$T$14)+$Y$9+$T$16))-(D32/IF(D39=0,1,D39)*-D44),0))</f>
        <v>0</v>
      </c>
      <c r="E58" s="295">
        <f t="shared" si="48"/>
        <v>0</v>
      </c>
      <c r="F58" s="295">
        <f t="shared" si="48"/>
        <v>0</v>
      </c>
      <c r="G58" s="295">
        <f t="shared" si="48"/>
        <v>0</v>
      </c>
      <c r="H58" s="296">
        <f t="shared" si="48"/>
        <v>0</v>
      </c>
      <c r="I58" s="321" t="str">
        <f>A58</f>
        <v>Dont oblig. de verser le salaire (art. 324a CO)</v>
      </c>
      <c r="J58" s="281" t="s">
        <v>136</v>
      </c>
      <c r="K58" s="295">
        <f t="shared" ref="K58:P58" si="49">IF(K32&gt;0.1,K32-(K32*(SUM($T$8:$T$14)+$Y$9+$T$16))-(K32/IF(K39=0,1,K39)*-K44),IF(K32&lt;-0.1,K32-(K32*(SUM($T$8:$T$14)+$Y$9+$T$16))-(K32/IF(K39=0,1,K39)*-K44),0))</f>
        <v>0</v>
      </c>
      <c r="L58" s="295">
        <f t="shared" si="49"/>
        <v>0</v>
      </c>
      <c r="M58" s="295">
        <f t="shared" si="49"/>
        <v>0</v>
      </c>
      <c r="N58" s="295">
        <f t="shared" si="49"/>
        <v>0</v>
      </c>
      <c r="O58" s="295">
        <f t="shared" si="49"/>
        <v>0</v>
      </c>
      <c r="P58" s="296">
        <f t="shared" si="49"/>
        <v>0</v>
      </c>
      <c r="Q58" s="84">
        <f>SUM(C58:H58)+SUM(K58:P58)</f>
        <v>0</v>
      </c>
      <c r="R58" s="57"/>
      <c r="S58" s="57"/>
      <c r="T58" s="57"/>
      <c r="U58" s="57"/>
      <c r="V58" s="57"/>
      <c r="W58" s="101"/>
      <c r="X58" s="58"/>
      <c r="Y58" s="59"/>
      <c r="Z58" s="59"/>
      <c r="AA58" s="59"/>
      <c r="AB58" s="59"/>
      <c r="AC58" s="59"/>
      <c r="AD58" s="59"/>
      <c r="AE58" s="59"/>
    </row>
    <row r="59" spans="1:31" s="6" customFormat="1" ht="5.15" customHeight="1" thickBot="1" x14ac:dyDescent="0.3">
      <c r="A59" s="2"/>
      <c r="B59" s="2"/>
      <c r="C59" s="65"/>
      <c r="D59" s="57"/>
      <c r="E59" s="66"/>
      <c r="F59" s="57"/>
      <c r="G59" s="57"/>
      <c r="H59" s="67"/>
      <c r="I59" s="2"/>
      <c r="J59" s="2"/>
      <c r="K59" s="67"/>
      <c r="L59" s="67"/>
      <c r="M59" s="67"/>
      <c r="N59" s="65"/>
      <c r="O59" s="57"/>
      <c r="P59" s="57"/>
      <c r="Q59" s="57"/>
      <c r="R59" s="62"/>
      <c r="S59" s="57"/>
      <c r="T59" s="57"/>
      <c r="U59" s="57"/>
      <c r="V59" s="62"/>
      <c r="W59" s="101"/>
      <c r="X59" s="58"/>
      <c r="Y59" s="59"/>
      <c r="Z59" s="59"/>
      <c r="AA59" s="59"/>
      <c r="AB59" s="59"/>
      <c r="AC59" s="59"/>
      <c r="AD59" s="64"/>
      <c r="AE59" s="64"/>
    </row>
    <row r="60" spans="1:31" s="6" customFormat="1" ht="15" customHeight="1" x14ac:dyDescent="0.3">
      <c r="A60" s="322" t="str">
        <f>IF(G12="oui","Contribution d'assistance de l'AI","")</f>
        <v/>
      </c>
      <c r="B60" s="282"/>
      <c r="C60" s="226" t="str">
        <f>IF($G$12="oui",C21,"")</f>
        <v/>
      </c>
      <c r="D60" s="226" t="str">
        <f t="shared" ref="D60:H60" si="50">IF($G$12="oui",D21,"")</f>
        <v/>
      </c>
      <c r="E60" s="226" t="str">
        <f t="shared" si="50"/>
        <v/>
      </c>
      <c r="F60" s="226" t="str">
        <f t="shared" si="50"/>
        <v/>
      </c>
      <c r="G60" s="226" t="str">
        <f t="shared" si="50"/>
        <v/>
      </c>
      <c r="H60" s="227" t="str">
        <f t="shared" si="50"/>
        <v/>
      </c>
      <c r="I60" s="322" t="str">
        <f t="shared" ref="I60:I64" si="51">A60</f>
        <v/>
      </c>
      <c r="J60" s="282"/>
      <c r="K60" s="226" t="str">
        <f>IF($G$12="oui",K21,"")</f>
        <v/>
      </c>
      <c r="L60" s="226" t="str">
        <f t="shared" ref="L60:P60" si="52">IF($G$12="oui",L21,"")</f>
        <v/>
      </c>
      <c r="M60" s="226" t="str">
        <f t="shared" si="52"/>
        <v/>
      </c>
      <c r="N60" s="226" t="str">
        <f t="shared" si="52"/>
        <v/>
      </c>
      <c r="O60" s="226" t="str">
        <f t="shared" si="52"/>
        <v/>
      </c>
      <c r="P60" s="227" t="str">
        <f t="shared" si="52"/>
        <v/>
      </c>
      <c r="Q60" s="230" t="str">
        <f>IF($G$12="Oui","Total","")</f>
        <v/>
      </c>
      <c r="R60" s="62"/>
      <c r="S60" s="62"/>
      <c r="T60" s="62"/>
      <c r="U60" s="62"/>
      <c r="V60" s="62"/>
      <c r="W60" s="102"/>
      <c r="X60" s="63"/>
      <c r="Y60" s="64"/>
      <c r="Z60" s="64"/>
      <c r="AA60" s="64"/>
      <c r="AB60" s="64"/>
      <c r="AC60" s="64"/>
      <c r="AD60" s="64"/>
      <c r="AE60" s="64"/>
    </row>
    <row r="61" spans="1:31" s="2" customFormat="1" ht="15" customHeight="1" x14ac:dyDescent="0.3">
      <c r="A61" s="323" t="str">
        <f>IF(G12="oui","A) Nb. d'heures standard","")</f>
        <v/>
      </c>
      <c r="B61" s="283" t="str">
        <f>IF(G12="oui","h"," ")</f>
        <v xml:space="preserve"> </v>
      </c>
      <c r="C61" s="297" t="str">
        <f>IF($G$12="oui",(IF(DATEDIF($F$7,C$21,"Y")&lt;18,0,C26+C28)),"")</f>
        <v/>
      </c>
      <c r="D61" s="297" t="str">
        <f t="shared" ref="D61:H61" si="53">IF($G$12="oui",(IF(DATEDIF($F$7,D$21,"Y")&lt;18,0,D26+D28)),"")</f>
        <v/>
      </c>
      <c r="E61" s="297" t="str">
        <f t="shared" si="53"/>
        <v/>
      </c>
      <c r="F61" s="297" t="str">
        <f t="shared" si="53"/>
        <v/>
      </c>
      <c r="G61" s="297" t="str">
        <f t="shared" si="53"/>
        <v/>
      </c>
      <c r="H61" s="298" t="str">
        <f t="shared" si="53"/>
        <v/>
      </c>
      <c r="I61" s="324" t="str">
        <f t="shared" si="51"/>
        <v/>
      </c>
      <c r="J61" s="283" t="str">
        <f>B61</f>
        <v xml:space="preserve"> </v>
      </c>
      <c r="K61" s="297" t="str">
        <f>IF($G$12="oui",(IF(DATEDIF($F$7,K$21,"Y")&lt;18,0,K26+K28)),"")</f>
        <v/>
      </c>
      <c r="L61" s="297" t="str">
        <f t="shared" ref="L61:P61" si="54">IF($G$12="oui",(IF(DATEDIF($F$7,L$21,"Y")&lt;18,0,L26+L28)),"")</f>
        <v/>
      </c>
      <c r="M61" s="297" t="str">
        <f t="shared" si="54"/>
        <v/>
      </c>
      <c r="N61" s="297" t="str">
        <f t="shared" si="54"/>
        <v/>
      </c>
      <c r="O61" s="297" t="str">
        <f t="shared" si="54"/>
        <v/>
      </c>
      <c r="P61" s="298" t="str">
        <f t="shared" si="54"/>
        <v/>
      </c>
      <c r="Q61" s="402" t="str">
        <f>IF($G$12="Oui",SUM(C61:H61)+SUM(K61:P61),"")</f>
        <v/>
      </c>
      <c r="R61" s="57"/>
      <c r="S61" s="62"/>
      <c r="T61" s="62"/>
      <c r="U61" s="62"/>
      <c r="V61" s="57"/>
      <c r="W61" s="102"/>
      <c r="X61" s="63"/>
      <c r="Y61" s="64"/>
      <c r="Z61" s="64"/>
      <c r="AA61" s="64"/>
      <c r="AB61" s="64"/>
      <c r="AC61" s="64"/>
      <c r="AD61" s="59"/>
      <c r="AE61" s="59"/>
    </row>
    <row r="62" spans="1:31" s="2" customFormat="1" ht="15" customHeight="1" x14ac:dyDescent="0.25">
      <c r="A62" s="324" t="str">
        <f>IF(G12="oui","B) Nb. d'heures quali B","")</f>
        <v/>
      </c>
      <c r="B62" s="284" t="str">
        <f>IF(G12="oui","h"," ")</f>
        <v xml:space="preserve"> </v>
      </c>
      <c r="C62" s="297"/>
      <c r="D62" s="297"/>
      <c r="E62" s="297"/>
      <c r="F62" s="297"/>
      <c r="G62" s="297"/>
      <c r="H62" s="298"/>
      <c r="I62" s="324" t="str">
        <f t="shared" si="51"/>
        <v/>
      </c>
      <c r="J62" s="284" t="str">
        <f>B62</f>
        <v xml:space="preserve"> </v>
      </c>
      <c r="K62" s="297"/>
      <c r="L62" s="297"/>
      <c r="M62" s="297"/>
      <c r="N62" s="297"/>
      <c r="O62" s="297"/>
      <c r="P62" s="298"/>
      <c r="Q62" s="228" t="str">
        <f>IF($G$12="Oui",SUM(C62:H62)+SUM(K62:P62),"")</f>
        <v/>
      </c>
      <c r="R62" s="57"/>
      <c r="S62" s="57"/>
      <c r="T62" s="57"/>
      <c r="U62" s="57"/>
      <c r="V62" s="57"/>
      <c r="W62" s="101"/>
      <c r="X62" s="58"/>
      <c r="Y62" s="58"/>
      <c r="Z62" s="58"/>
      <c r="AA62" s="58"/>
      <c r="AB62" s="58"/>
      <c r="AC62" s="58"/>
      <c r="AD62" s="58"/>
      <c r="AE62" s="58"/>
    </row>
    <row r="63" spans="1:31" s="2" customFormat="1" ht="15" customHeight="1" x14ac:dyDescent="0.25">
      <c r="A63" s="445" t="str">
        <f>IF($G$12="oui","C) Nb. d'engagements 
de nuit","")</f>
        <v/>
      </c>
      <c r="B63" s="448" t="str">
        <f>IF(G12="oui","Nb."," ")</f>
        <v xml:space="preserve"> </v>
      </c>
      <c r="C63" s="376" t="str">
        <f>IF($G$12="Oui",(IF(DATEDIF($F$7,C$21,"Y")&lt;18,0,C25)),"")</f>
        <v/>
      </c>
      <c r="D63" s="376" t="str">
        <f t="shared" ref="D63:H63" si="55">IF($G$12="Oui",(IF(DATEDIF($F$7,D$21,"Y")&lt;18,0,D25)),"")</f>
        <v/>
      </c>
      <c r="E63" s="376" t="str">
        <f t="shared" si="55"/>
        <v/>
      </c>
      <c r="F63" s="376" t="str">
        <f t="shared" si="55"/>
        <v/>
      </c>
      <c r="G63" s="376" t="str">
        <f t="shared" si="55"/>
        <v/>
      </c>
      <c r="H63" s="377" t="str">
        <f t="shared" si="55"/>
        <v/>
      </c>
      <c r="I63" s="324" t="str">
        <f t="shared" si="51"/>
        <v/>
      </c>
      <c r="J63" s="284" t="str">
        <f>B63</f>
        <v xml:space="preserve"> </v>
      </c>
      <c r="K63" s="376" t="str">
        <f>IF($G$12="Oui",(IF(DATEDIF($F$7,K$21,"Y")&lt;18,0,K25)),"")</f>
        <v/>
      </c>
      <c r="L63" s="376" t="str">
        <f t="shared" ref="L63:P63" si="56">IF($G$12="Oui",(IF(DATEDIF($F$7,L$21,"Y")&lt;18,0,L25)),"")</f>
        <v/>
      </c>
      <c r="M63" s="376" t="str">
        <f t="shared" si="56"/>
        <v/>
      </c>
      <c r="N63" s="376" t="str">
        <f t="shared" si="56"/>
        <v/>
      </c>
      <c r="O63" s="376" t="str">
        <f t="shared" si="56"/>
        <v/>
      </c>
      <c r="P63" s="377" t="str">
        <f t="shared" si="56"/>
        <v/>
      </c>
      <c r="Q63" s="228" t="str">
        <f>IF($G$12="Oui",SUM(C63:H63)+SUM(K63:P63),"")</f>
        <v/>
      </c>
      <c r="R63" s="57"/>
      <c r="S63" s="57"/>
      <c r="T63" s="57"/>
      <c r="U63" s="57"/>
      <c r="V63" s="57"/>
      <c r="W63" s="101"/>
      <c r="X63" s="58"/>
      <c r="Y63" s="58"/>
      <c r="Z63" s="58"/>
      <c r="AA63" s="58"/>
      <c r="AB63" s="58"/>
      <c r="AC63" s="58"/>
      <c r="AD63" s="58"/>
      <c r="AE63" s="58"/>
    </row>
    <row r="64" spans="1:31" s="2" customFormat="1" ht="15" customHeight="1" thickBot="1" x14ac:dyDescent="0.3">
      <c r="A64" s="446" t="str">
        <f>IF(G12="oui","Oblig. de verser le salaire","")</f>
        <v/>
      </c>
      <c r="B64" s="449"/>
      <c r="C64" s="299" t="str">
        <f>IF($G$12="Oui",(IF(DATEDIF($F$7,C$21,"Y")&lt;18,0,(IF(OR(C32&gt;0.1,C33&gt;0.1),"décompter","")))),"")</f>
        <v/>
      </c>
      <c r="D64" s="299" t="str">
        <f t="shared" ref="D64:H64" si="57">IF($G$12="Oui",(IF(DATEDIF($F$7,D$21,"Y")&lt;18,0,(IF(OR(D32&gt;0.1,D33&gt;0.1),"décompter","")))),"")</f>
        <v/>
      </c>
      <c r="E64" s="299" t="str">
        <f t="shared" si="57"/>
        <v/>
      </c>
      <c r="F64" s="299" t="str">
        <f t="shared" si="57"/>
        <v/>
      </c>
      <c r="G64" s="299" t="str">
        <f t="shared" si="57"/>
        <v/>
      </c>
      <c r="H64" s="300" t="str">
        <f t="shared" si="57"/>
        <v/>
      </c>
      <c r="I64" s="325" t="str">
        <f t="shared" si="51"/>
        <v/>
      </c>
      <c r="J64" s="285">
        <f>B64</f>
        <v>0</v>
      </c>
      <c r="K64" s="299" t="str">
        <f>IF($G$12="Oui",(IF(DATEDIF($F$7,K$21,"Y")&lt;18,0,(IF(OR(K32&gt;0.1,K33&gt;0.1),"décompter","")))),"")</f>
        <v/>
      </c>
      <c r="L64" s="299" t="str">
        <f t="shared" ref="L64:P64" si="58">IF($G$12="Oui",(IF(DATEDIF($F$7,L$21,"Y")&lt;18,0,(IF(OR(L32&gt;0.1,L33&gt;0.1),"décompter","")))),"")</f>
        <v/>
      </c>
      <c r="M64" s="299" t="str">
        <f t="shared" si="58"/>
        <v/>
      </c>
      <c r="N64" s="299" t="str">
        <f t="shared" si="58"/>
        <v/>
      </c>
      <c r="O64" s="299" t="str">
        <f t="shared" si="58"/>
        <v/>
      </c>
      <c r="P64" s="300" t="str">
        <f t="shared" si="58"/>
        <v/>
      </c>
      <c r="Q64" s="231" t="str">
        <f>IF($G$12="oui",SUM(C64:H64)+SUM(K64:P64),"")</f>
        <v/>
      </c>
      <c r="R64" s="57"/>
      <c r="S64" s="57"/>
      <c r="T64" s="57"/>
      <c r="U64" s="57"/>
      <c r="V64" s="57"/>
      <c r="W64" s="101"/>
      <c r="X64" s="58"/>
      <c r="Y64" s="58"/>
      <c r="Z64" s="58"/>
      <c r="AA64" s="58"/>
      <c r="AB64" s="58"/>
      <c r="AC64" s="58"/>
      <c r="AD64" s="58"/>
      <c r="AE64" s="58"/>
    </row>
    <row r="65" spans="1:31" s="6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2"/>
      <c r="K65" s="1"/>
      <c r="L65" s="1"/>
      <c r="M65" s="1"/>
      <c r="N65" s="1"/>
      <c r="O65" s="1"/>
      <c r="P65" s="1"/>
      <c r="Q65" s="1"/>
      <c r="R65" s="62"/>
      <c r="S65" s="1"/>
      <c r="T65" s="1"/>
      <c r="U65" s="1"/>
      <c r="V65" s="62"/>
      <c r="W65" s="101"/>
      <c r="X65" s="58"/>
      <c r="Y65" s="58"/>
      <c r="Z65" s="58"/>
      <c r="AA65" s="58"/>
      <c r="AB65" s="58"/>
      <c r="AC65" s="58"/>
      <c r="AD65" s="63"/>
      <c r="AE65" s="63"/>
    </row>
    <row r="66" spans="1:31" s="415" customFormat="1" ht="15" customHeight="1" x14ac:dyDescent="0.25">
      <c r="A66" s="1"/>
      <c r="B66" s="1"/>
      <c r="C66" s="412"/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12"/>
      <c r="Q66" s="412"/>
      <c r="R66" s="413"/>
      <c r="S66" s="412"/>
      <c r="T66" s="412"/>
      <c r="U66" s="412"/>
      <c r="V66" s="413"/>
      <c r="W66" s="429"/>
      <c r="X66" s="414"/>
      <c r="Y66" s="414"/>
      <c r="Z66" s="414"/>
      <c r="AA66" s="414"/>
      <c r="AB66" s="414"/>
      <c r="AC66" s="414"/>
      <c r="AD66" s="414"/>
      <c r="AE66" s="414"/>
    </row>
    <row r="67" spans="1:31" s="412" customFormat="1" ht="15" hidden="1" customHeight="1" x14ac:dyDescent="0.2">
      <c r="A67" s="412" t="s">
        <v>155</v>
      </c>
      <c r="C67" s="424" t="str">
        <f>IF(AND($C$14&lt;=EOMONTH(C$21,0),OR($C$15&gt;=C$21,$C$15=""),$F$17&lt;=C$21),"oui","no")</f>
        <v>no</v>
      </c>
      <c r="D67" s="424" t="str">
        <f t="shared" ref="D67:H67" si="59">IF(AND($C$14&lt;=EOMONTH(D$21,0),OR($C$15&gt;=D$21,$C$15=""),$F$17&lt;=D$21),"oui","no")</f>
        <v>no</v>
      </c>
      <c r="E67" s="424" t="str">
        <f t="shared" si="59"/>
        <v>no</v>
      </c>
      <c r="F67" s="424" t="str">
        <f t="shared" si="59"/>
        <v>no</v>
      </c>
      <c r="G67" s="424" t="str">
        <f t="shared" si="59"/>
        <v>no</v>
      </c>
      <c r="H67" s="424" t="str">
        <f t="shared" si="59"/>
        <v>no</v>
      </c>
      <c r="I67" s="424"/>
      <c r="J67" s="424"/>
      <c r="K67" s="424" t="str">
        <f>IF(AND($C$14&lt;=EOMONTH(K$21,0),OR($C$15&gt;=K$21,$C$15=""),$F$17&lt;=K$21),"oui","no")</f>
        <v>no</v>
      </c>
      <c r="L67" s="424" t="str">
        <f t="shared" ref="L67:P67" si="60">IF(AND($C$14&lt;=EOMONTH(L$21,0),OR($C$15&gt;=L$21,$C$15=""),$F$17&lt;=L$21),"oui","no")</f>
        <v>no</v>
      </c>
      <c r="M67" s="424" t="str">
        <f t="shared" si="60"/>
        <v>no</v>
      </c>
      <c r="N67" s="424" t="str">
        <f t="shared" si="60"/>
        <v>no</v>
      </c>
      <c r="O67" s="424" t="str">
        <f t="shared" si="60"/>
        <v>no</v>
      </c>
      <c r="P67" s="424" t="str">
        <f t="shared" si="60"/>
        <v>no</v>
      </c>
      <c r="X67" s="416"/>
      <c r="Y67" s="416"/>
      <c r="Z67" s="416"/>
      <c r="AA67" s="416"/>
      <c r="AB67" s="416"/>
      <c r="AC67" s="416"/>
      <c r="AD67" s="416"/>
      <c r="AE67" s="416"/>
    </row>
    <row r="68" spans="1:31" s="412" customFormat="1" ht="10" hidden="1" x14ac:dyDescent="0.2">
      <c r="X68" s="416"/>
      <c r="Y68" s="416"/>
      <c r="Z68" s="416"/>
      <c r="AA68" s="416"/>
      <c r="AB68" s="416"/>
      <c r="AC68" s="416"/>
      <c r="AD68" s="416"/>
      <c r="AE68" s="416"/>
    </row>
    <row r="69" spans="1:31" s="412" customFormat="1" ht="10.5" hidden="1" x14ac:dyDescent="0.25">
      <c r="A69" s="417"/>
      <c r="C69" s="418">
        <f>C$21</f>
        <v>46023</v>
      </c>
      <c r="D69" s="418">
        <f t="shared" ref="D69:H69" si="61">D$21</f>
        <v>46054</v>
      </c>
      <c r="E69" s="418">
        <f t="shared" si="61"/>
        <v>46082</v>
      </c>
      <c r="F69" s="418">
        <f t="shared" si="61"/>
        <v>46113</v>
      </c>
      <c r="G69" s="418">
        <f t="shared" si="61"/>
        <v>46143</v>
      </c>
      <c r="H69" s="418">
        <f t="shared" si="61"/>
        <v>46174</v>
      </c>
      <c r="K69" s="418">
        <f>K$21</f>
        <v>46204</v>
      </c>
      <c r="L69" s="418">
        <f t="shared" ref="L69:P69" si="62">L$21</f>
        <v>46235</v>
      </c>
      <c r="M69" s="418">
        <f t="shared" si="62"/>
        <v>46266</v>
      </c>
      <c r="N69" s="418">
        <f t="shared" si="62"/>
        <v>46296</v>
      </c>
      <c r="O69" s="418">
        <f t="shared" si="62"/>
        <v>46327</v>
      </c>
      <c r="P69" s="418">
        <f t="shared" si="62"/>
        <v>46357</v>
      </c>
      <c r="X69" s="416"/>
      <c r="Y69" s="416"/>
      <c r="Z69" s="416"/>
      <c r="AA69" s="416"/>
      <c r="AB69" s="416"/>
      <c r="AC69" s="416"/>
      <c r="AD69" s="416"/>
      <c r="AE69" s="416"/>
    </row>
    <row r="70" spans="1:31" s="412" customFormat="1" ht="10.5" hidden="1" x14ac:dyDescent="0.25">
      <c r="A70" s="419" t="s">
        <v>156</v>
      </c>
      <c r="C70" s="419">
        <f t="shared" ref="C70:H70" si="63">IF($C$16="Salaire horaire",SUM(C$27,C$29,C$30,C$31,C$32,C$33,C$34),SUM(C$22,C$23,C$30,C$31,C$32,C$33,C$34))</f>
        <v>0</v>
      </c>
      <c r="D70" s="419">
        <f t="shared" si="63"/>
        <v>0</v>
      </c>
      <c r="E70" s="419">
        <f t="shared" si="63"/>
        <v>0</v>
      </c>
      <c r="F70" s="419">
        <f t="shared" si="63"/>
        <v>0</v>
      </c>
      <c r="G70" s="419">
        <f t="shared" si="63"/>
        <v>0</v>
      </c>
      <c r="H70" s="419">
        <f t="shared" si="63"/>
        <v>0</v>
      </c>
      <c r="K70" s="419">
        <f t="shared" ref="K70:P70" si="64">IF($C$16="Salaire horaire",SUM(K$27,K$29,K$30,K$31,K$32,K$33,K$34),SUM(K$22,K$23,K$30,K$31,K$32,K$33,K$34))</f>
        <v>0</v>
      </c>
      <c r="L70" s="419">
        <f t="shared" si="64"/>
        <v>0</v>
      </c>
      <c r="M70" s="419">
        <f t="shared" si="64"/>
        <v>0</v>
      </c>
      <c r="N70" s="419">
        <f t="shared" si="64"/>
        <v>0</v>
      </c>
      <c r="O70" s="419">
        <f t="shared" si="64"/>
        <v>0</v>
      </c>
      <c r="P70" s="419">
        <f t="shared" si="64"/>
        <v>0</v>
      </c>
      <c r="X70" s="416"/>
      <c r="Y70" s="416"/>
      <c r="Z70" s="416"/>
      <c r="AA70" s="416"/>
      <c r="AB70" s="416"/>
      <c r="AC70" s="416"/>
      <c r="AD70" s="416"/>
      <c r="AE70" s="416"/>
    </row>
    <row r="71" spans="1:31" s="412" customFormat="1" ht="10.5" hidden="1" x14ac:dyDescent="0.25">
      <c r="A71" s="419" t="s">
        <v>157</v>
      </c>
      <c r="C71" s="419">
        <f>IF(C$73=0,0,C$70)</f>
        <v>0</v>
      </c>
      <c r="D71" s="419">
        <f>IF(D$73=0,0,D$70+C$71)</f>
        <v>0</v>
      </c>
      <c r="E71" s="419">
        <f t="shared" ref="E71:G71" si="65">IF(E$73=0,0,E$70+D$71)</f>
        <v>0</v>
      </c>
      <c r="F71" s="419">
        <f t="shared" si="65"/>
        <v>0</v>
      </c>
      <c r="G71" s="419">
        <f t="shared" si="65"/>
        <v>0</v>
      </c>
      <c r="H71" s="419">
        <f>IF(H$73=0,0,H$70+G$71)</f>
        <v>0</v>
      </c>
      <c r="K71" s="419">
        <f>IF(K$73=0,0,K$70+H$71)</f>
        <v>0</v>
      </c>
      <c r="L71" s="419">
        <f>IF(L$73=0,0,L$70+K$71)</f>
        <v>0</v>
      </c>
      <c r="M71" s="419">
        <f t="shared" ref="M71:P71" si="66">IF(M$73=0,0,M$70+L$71)</f>
        <v>0</v>
      </c>
      <c r="N71" s="419">
        <f t="shared" si="66"/>
        <v>0</v>
      </c>
      <c r="O71" s="419">
        <f t="shared" si="66"/>
        <v>0</v>
      </c>
      <c r="P71" s="419">
        <f t="shared" si="66"/>
        <v>0</v>
      </c>
      <c r="X71" s="416"/>
      <c r="Y71" s="416"/>
      <c r="Z71" s="416"/>
      <c r="AA71" s="416"/>
      <c r="AB71" s="416"/>
      <c r="AC71" s="416"/>
      <c r="AD71" s="416"/>
      <c r="AE71" s="416"/>
    </row>
    <row r="72" spans="1:31" s="412" customFormat="1" ht="10.5" hidden="1" x14ac:dyDescent="0.25">
      <c r="A72" s="419"/>
      <c r="C72" s="419"/>
      <c r="D72" s="419"/>
      <c r="E72" s="419"/>
      <c r="F72" s="419"/>
      <c r="G72" s="419"/>
      <c r="H72" s="419"/>
      <c r="K72" s="419"/>
      <c r="L72" s="419"/>
      <c r="M72" s="419"/>
      <c r="N72" s="419"/>
      <c r="O72" s="419"/>
      <c r="P72" s="419"/>
      <c r="X72" s="416"/>
      <c r="Y72" s="416"/>
      <c r="Z72" s="416"/>
      <c r="AA72" s="416"/>
      <c r="AB72" s="416"/>
      <c r="AC72" s="416"/>
      <c r="AD72" s="416"/>
      <c r="AE72" s="416"/>
    </row>
    <row r="73" spans="1:31" s="412" customFormat="1" ht="10.5" hidden="1" x14ac:dyDescent="0.25">
      <c r="A73" s="419" t="s">
        <v>6</v>
      </c>
      <c r="C73" s="419">
        <f>IF(C$67="oui",Grundlagen!$B$7,0)</f>
        <v>0</v>
      </c>
      <c r="D73" s="419">
        <f>IF(D$67="oui",Grundlagen!$B$7,0)</f>
        <v>0</v>
      </c>
      <c r="E73" s="419">
        <f>IF(E$67="oui",Grundlagen!$B$7,0)</f>
        <v>0</v>
      </c>
      <c r="F73" s="419">
        <f>IF(F$67="oui",Grundlagen!$B$7,0)</f>
        <v>0</v>
      </c>
      <c r="G73" s="419">
        <f>IF(G$67="oui",Grundlagen!$B$7,0)</f>
        <v>0</v>
      </c>
      <c r="H73" s="419">
        <f>IF(H$67="oui",Grundlagen!$B$7,0)</f>
        <v>0</v>
      </c>
      <c r="K73" s="419">
        <f>IF(K$67="oui",Grundlagen!$B$7,0)</f>
        <v>0</v>
      </c>
      <c r="L73" s="419">
        <f>IF(L$67="oui",Grundlagen!$B$7,0)</f>
        <v>0</v>
      </c>
      <c r="M73" s="419">
        <f>IF(M$67="oui",Grundlagen!$B$7,0)</f>
        <v>0</v>
      </c>
      <c r="N73" s="419">
        <f>IF(N$67="oui",Grundlagen!$B$7,0)</f>
        <v>0</v>
      </c>
      <c r="O73" s="419">
        <f>IF(O$67="oui",Grundlagen!$B$7,0)</f>
        <v>0</v>
      </c>
      <c r="P73" s="419">
        <f>IF(P$67="oui",Grundlagen!$B$7,0)</f>
        <v>0</v>
      </c>
      <c r="X73" s="416"/>
      <c r="Y73" s="416"/>
      <c r="Z73" s="416"/>
      <c r="AA73" s="416"/>
      <c r="AB73" s="416"/>
      <c r="AC73" s="416"/>
      <c r="AD73" s="416"/>
      <c r="AE73" s="416"/>
    </row>
    <row r="74" spans="1:31" s="412" customFormat="1" ht="10.5" hidden="1" x14ac:dyDescent="0.25">
      <c r="A74" s="419" t="s">
        <v>158</v>
      </c>
      <c r="C74" s="419">
        <f>C$73</f>
        <v>0</v>
      </c>
      <c r="D74" s="419">
        <f>C$74+D$73</f>
        <v>0</v>
      </c>
      <c r="E74" s="419">
        <f t="shared" ref="E74:H74" si="67">D$74+E$73</f>
        <v>0</v>
      </c>
      <c r="F74" s="419">
        <f t="shared" si="67"/>
        <v>0</v>
      </c>
      <c r="G74" s="419">
        <f t="shared" si="67"/>
        <v>0</v>
      </c>
      <c r="H74" s="419">
        <f t="shared" si="67"/>
        <v>0</v>
      </c>
      <c r="K74" s="419">
        <f>H$74+K$73</f>
        <v>0</v>
      </c>
      <c r="L74" s="419">
        <f>K$74+L$73</f>
        <v>0</v>
      </c>
      <c r="M74" s="419">
        <f t="shared" ref="M74:P74" si="68">L$74+M$73</f>
        <v>0</v>
      </c>
      <c r="N74" s="419">
        <f t="shared" si="68"/>
        <v>0</v>
      </c>
      <c r="O74" s="419">
        <f t="shared" si="68"/>
        <v>0</v>
      </c>
      <c r="P74" s="419">
        <f t="shared" si="68"/>
        <v>0</v>
      </c>
      <c r="X74" s="416"/>
      <c r="Y74" s="416"/>
      <c r="Z74" s="416"/>
      <c r="AA74" s="416"/>
      <c r="AB74" s="416"/>
      <c r="AC74" s="416"/>
      <c r="AD74" s="416"/>
      <c r="AE74" s="416"/>
    </row>
    <row r="75" spans="1:31" s="412" customFormat="1" ht="10.5" hidden="1" x14ac:dyDescent="0.25">
      <c r="A75" s="419"/>
      <c r="C75" s="419"/>
      <c r="D75" s="419"/>
      <c r="E75" s="419"/>
      <c r="F75" s="419"/>
      <c r="G75" s="419"/>
      <c r="H75" s="419"/>
      <c r="K75" s="419"/>
      <c r="L75" s="419"/>
      <c r="M75" s="419"/>
      <c r="N75" s="419"/>
      <c r="O75" s="419"/>
      <c r="P75" s="419"/>
      <c r="X75" s="416"/>
      <c r="Y75" s="416"/>
      <c r="Z75" s="416"/>
      <c r="AA75" s="416"/>
      <c r="AB75" s="416"/>
      <c r="AC75" s="416"/>
      <c r="AD75" s="416"/>
      <c r="AE75" s="416"/>
    </row>
    <row r="76" spans="1:31" s="412" customFormat="1" ht="10.5" hidden="1" x14ac:dyDescent="0.25">
      <c r="A76" s="419" t="s">
        <v>159</v>
      </c>
      <c r="C76" s="419">
        <f>IF(C$71&gt;C$74,C$71-C$74,0)</f>
        <v>0</v>
      </c>
      <c r="D76" s="419">
        <f t="shared" ref="D76:H76" si="69">IF(D$71&gt;D$74,D$71-D$74,0)</f>
        <v>0</v>
      </c>
      <c r="E76" s="419">
        <f t="shared" si="69"/>
        <v>0</v>
      </c>
      <c r="F76" s="419">
        <f t="shared" si="69"/>
        <v>0</v>
      </c>
      <c r="G76" s="419">
        <f t="shared" si="69"/>
        <v>0</v>
      </c>
      <c r="H76" s="419">
        <f t="shared" si="69"/>
        <v>0</v>
      </c>
      <c r="K76" s="419">
        <f>IF(K$71&gt;K$74,K$71-K$74,0)</f>
        <v>0</v>
      </c>
      <c r="L76" s="419">
        <f t="shared" ref="L76:P76" si="70">IF(L$71&gt;L$74,L$71-L$74,0)</f>
        <v>0</v>
      </c>
      <c r="M76" s="419">
        <f t="shared" si="70"/>
        <v>0</v>
      </c>
      <c r="N76" s="419">
        <f t="shared" si="70"/>
        <v>0</v>
      </c>
      <c r="O76" s="419">
        <f t="shared" si="70"/>
        <v>0</v>
      </c>
      <c r="P76" s="419">
        <f t="shared" si="70"/>
        <v>0</v>
      </c>
      <c r="X76" s="416"/>
      <c r="Y76" s="416"/>
      <c r="Z76" s="416"/>
      <c r="AA76" s="416"/>
      <c r="AB76" s="416"/>
      <c r="AC76" s="416"/>
      <c r="AD76" s="416"/>
      <c r="AE76" s="416"/>
    </row>
    <row r="77" spans="1:31" s="412" customFormat="1" ht="10.5" hidden="1" x14ac:dyDescent="0.25">
      <c r="A77" s="419" t="s">
        <v>160</v>
      </c>
      <c r="C77" s="419">
        <f>C$79</f>
        <v>0</v>
      </c>
      <c r="D77" s="419">
        <f>C$77+D$79</f>
        <v>0</v>
      </c>
      <c r="E77" s="419">
        <f t="shared" ref="E77:H77" si="71">D$77+E$79</f>
        <v>0</v>
      </c>
      <c r="F77" s="419">
        <f t="shared" si="71"/>
        <v>0</v>
      </c>
      <c r="G77" s="419">
        <f t="shared" si="71"/>
        <v>0</v>
      </c>
      <c r="H77" s="419">
        <f t="shared" si="71"/>
        <v>0</v>
      </c>
      <c r="K77" s="419">
        <f>H$77+K$79</f>
        <v>0</v>
      </c>
      <c r="L77" s="419">
        <f>K$77+L$79</f>
        <v>0</v>
      </c>
      <c r="M77" s="419">
        <f t="shared" ref="M77:P77" si="72">L$77+M$79</f>
        <v>0</v>
      </c>
      <c r="N77" s="419">
        <f t="shared" si="72"/>
        <v>0</v>
      </c>
      <c r="O77" s="419">
        <f t="shared" si="72"/>
        <v>0</v>
      </c>
      <c r="P77" s="419">
        <f t="shared" si="72"/>
        <v>0</v>
      </c>
      <c r="X77" s="416"/>
      <c r="Y77" s="416"/>
      <c r="Z77" s="416"/>
      <c r="AA77" s="416"/>
      <c r="AB77" s="416"/>
      <c r="AC77" s="416"/>
      <c r="AD77" s="416"/>
      <c r="AE77" s="416"/>
    </row>
    <row r="78" spans="1:31" s="412" customFormat="1" ht="10.5" hidden="1" x14ac:dyDescent="0.25">
      <c r="A78" s="419"/>
      <c r="C78" s="419"/>
      <c r="D78" s="419"/>
      <c r="E78" s="419"/>
      <c r="F78" s="419"/>
      <c r="G78" s="419"/>
      <c r="H78" s="419"/>
      <c r="K78" s="419"/>
      <c r="L78" s="419"/>
      <c r="M78" s="419"/>
      <c r="N78" s="419"/>
      <c r="O78" s="419"/>
      <c r="P78" s="419"/>
      <c r="X78" s="416"/>
      <c r="Y78" s="416"/>
      <c r="Z78" s="416"/>
      <c r="AA78" s="416"/>
      <c r="AB78" s="416"/>
      <c r="AC78" s="416"/>
      <c r="AD78" s="416"/>
      <c r="AE78" s="416"/>
    </row>
    <row r="79" spans="1:31" s="412" customFormat="1" ht="10.5" hidden="1" x14ac:dyDescent="0.25">
      <c r="A79" s="420" t="s">
        <v>161</v>
      </c>
      <c r="C79" s="419">
        <f>IF(C$70=0,0,C$76)</f>
        <v>0</v>
      </c>
      <c r="D79" s="420">
        <f>IF(D$70=0,0,D$76-C$77)</f>
        <v>0</v>
      </c>
      <c r="E79" s="420">
        <f t="shared" ref="E79:H79" si="73">IF(E$70=0,0,E$76-D$77)</f>
        <v>0</v>
      </c>
      <c r="F79" s="420">
        <f t="shared" si="73"/>
        <v>0</v>
      </c>
      <c r="G79" s="420">
        <f t="shared" si="73"/>
        <v>0</v>
      </c>
      <c r="H79" s="420">
        <f t="shared" si="73"/>
        <v>0</v>
      </c>
      <c r="K79" s="420">
        <f>IF(K$70=0,0,K$76-H$77)</f>
        <v>0</v>
      </c>
      <c r="L79" s="420">
        <f t="shared" ref="L79:P79" si="74">IF(L$70=0,0,L$76-K$77)</f>
        <v>0</v>
      </c>
      <c r="M79" s="420">
        <f t="shared" si="74"/>
        <v>0</v>
      </c>
      <c r="N79" s="420">
        <f t="shared" si="74"/>
        <v>0</v>
      </c>
      <c r="O79" s="420">
        <f t="shared" si="74"/>
        <v>0</v>
      </c>
      <c r="P79" s="420">
        <f t="shared" si="74"/>
        <v>0</v>
      </c>
      <c r="X79" s="416"/>
      <c r="Y79" s="416"/>
      <c r="Z79" s="416"/>
      <c r="AA79" s="416"/>
      <c r="AB79" s="416"/>
      <c r="AC79" s="416"/>
      <c r="AD79" s="416"/>
      <c r="AE79" s="416"/>
    </row>
    <row r="80" spans="1:31" s="412" customFormat="1" ht="10.5" hidden="1" x14ac:dyDescent="0.25">
      <c r="A80" s="421" t="s">
        <v>6</v>
      </c>
      <c r="C80" s="421">
        <f>ROUND((IF(C$73=0,0,C$79-C$70)*-1)/5,2)*5</f>
        <v>0</v>
      </c>
      <c r="D80" s="421">
        <f>ROUND((IF(D$73=0,0,D$79-D$70)*-1)/5,2)*5</f>
        <v>0</v>
      </c>
      <c r="E80" s="421">
        <f t="shared" ref="E80:H80" si="75">ROUND((IF(E$73=0,0,E$79-E$70)*-1)/5,2)*5</f>
        <v>0</v>
      </c>
      <c r="F80" s="421">
        <f t="shared" si="75"/>
        <v>0</v>
      </c>
      <c r="G80" s="421">
        <f t="shared" si="75"/>
        <v>0</v>
      </c>
      <c r="H80" s="421">
        <f t="shared" si="75"/>
        <v>0</v>
      </c>
      <c r="K80" s="421">
        <f t="shared" ref="K80:P80" si="76">ROUND((IF(K$73=0,0,K$79-K$70)*-1)/5,2)*5</f>
        <v>0</v>
      </c>
      <c r="L80" s="421">
        <f t="shared" si="76"/>
        <v>0</v>
      </c>
      <c r="M80" s="421">
        <f t="shared" si="76"/>
        <v>0</v>
      </c>
      <c r="N80" s="421">
        <f t="shared" si="76"/>
        <v>0</v>
      </c>
      <c r="O80" s="421">
        <f t="shared" si="76"/>
        <v>0</v>
      </c>
      <c r="P80" s="421">
        <f t="shared" si="76"/>
        <v>0</v>
      </c>
      <c r="X80" s="416"/>
      <c r="Y80" s="416"/>
      <c r="Z80" s="416"/>
      <c r="AA80" s="416"/>
      <c r="AB80" s="416"/>
      <c r="AC80" s="416"/>
      <c r="AD80" s="416"/>
      <c r="AE80" s="416"/>
    </row>
    <row r="81" spans="1:31" s="412" customFormat="1" ht="10.5" hidden="1" x14ac:dyDescent="0.25">
      <c r="A81" s="420" t="s">
        <v>162</v>
      </c>
      <c r="C81" s="419">
        <f t="shared" ref="C81:H81" si="77">IF(C$67="oui",0,C$39)</f>
        <v>0</v>
      </c>
      <c r="D81" s="419">
        <f t="shared" si="77"/>
        <v>0</v>
      </c>
      <c r="E81" s="419">
        <f t="shared" si="77"/>
        <v>0</v>
      </c>
      <c r="F81" s="419">
        <f t="shared" si="77"/>
        <v>0</v>
      </c>
      <c r="G81" s="419">
        <f t="shared" si="77"/>
        <v>0</v>
      </c>
      <c r="H81" s="419">
        <f t="shared" si="77"/>
        <v>0</v>
      </c>
      <c r="K81" s="419">
        <f t="shared" ref="K81:P81" si="78">IF(K$67="oui",0,K$39)</f>
        <v>0</v>
      </c>
      <c r="L81" s="419">
        <f t="shared" si="78"/>
        <v>0</v>
      </c>
      <c r="M81" s="419">
        <f t="shared" si="78"/>
        <v>0</v>
      </c>
      <c r="N81" s="419">
        <f t="shared" si="78"/>
        <v>0</v>
      </c>
      <c r="O81" s="419">
        <f t="shared" si="78"/>
        <v>0</v>
      </c>
      <c r="P81" s="419">
        <f t="shared" si="78"/>
        <v>0</v>
      </c>
      <c r="Q81" s="430">
        <f>SUM(C81:P81)</f>
        <v>0</v>
      </c>
      <c r="X81" s="416"/>
      <c r="Y81" s="416"/>
      <c r="Z81" s="416"/>
      <c r="AA81" s="416"/>
      <c r="AB81" s="416"/>
      <c r="AC81" s="416"/>
      <c r="AD81" s="416"/>
      <c r="AE81" s="416"/>
    </row>
    <row r="82" spans="1:31" s="412" customFormat="1" ht="10" x14ac:dyDescent="0.2">
      <c r="X82" s="416"/>
      <c r="Y82" s="416"/>
      <c r="Z82" s="416"/>
      <c r="AA82" s="416"/>
      <c r="AB82" s="416"/>
      <c r="AC82" s="416"/>
      <c r="AD82" s="416"/>
      <c r="AE82" s="416"/>
    </row>
    <row r="83" spans="1:31" s="412" customFormat="1" ht="10" x14ac:dyDescent="0.2">
      <c r="X83" s="416"/>
      <c r="Y83" s="416"/>
      <c r="Z83" s="416"/>
      <c r="AA83" s="416"/>
      <c r="AB83" s="416"/>
      <c r="AC83" s="416"/>
      <c r="AD83" s="416"/>
      <c r="AE83" s="416"/>
    </row>
  </sheetData>
  <sheetProtection algorithmName="SHA-512" hashValue="T+eDpCE3fzJW4iYkis8qjNHnifJbRi40GCQaIqZbp+/LLoGjaRUDaVvwDQAHA1OAQj1EQM/CFAYSApKXg5Ds1Q==" saltValue="VggsJrB4opL2tOo0+9UC6A==" spinCount="100000" sheet="1" objects="1" scenarios="1"/>
  <mergeCells count="48">
    <mergeCell ref="O52:O53"/>
    <mergeCell ref="P52:P53"/>
    <mergeCell ref="S24:U26"/>
    <mergeCell ref="S28:U30"/>
    <mergeCell ref="S31:U32"/>
    <mergeCell ref="S33:U35"/>
    <mergeCell ref="S36:U40"/>
    <mergeCell ref="S41:U43"/>
    <mergeCell ref="AB4:AB5"/>
    <mergeCell ref="AC4:AC5"/>
    <mergeCell ref="AD4:AD5"/>
    <mergeCell ref="AH4:AI5"/>
    <mergeCell ref="C6:D6"/>
    <mergeCell ref="F6:G6"/>
    <mergeCell ref="P1:Q3"/>
    <mergeCell ref="A2:C2"/>
    <mergeCell ref="I2:K2"/>
    <mergeCell ref="Y2:Y5"/>
    <mergeCell ref="AA2:AA5"/>
    <mergeCell ref="S4:T4"/>
    <mergeCell ref="X4:X5"/>
    <mergeCell ref="Z4:Z5"/>
    <mergeCell ref="A1:C1"/>
    <mergeCell ref="D1:F2"/>
    <mergeCell ref="G1:H3"/>
    <mergeCell ref="I1:K1"/>
    <mergeCell ref="L1:N2"/>
    <mergeCell ref="C52:C53"/>
    <mergeCell ref="D52:D53"/>
    <mergeCell ref="E52:E53"/>
    <mergeCell ref="F52:F53"/>
    <mergeCell ref="G52:G53"/>
    <mergeCell ref="H52:H53"/>
    <mergeCell ref="K52:K53"/>
    <mergeCell ref="L52:L53"/>
    <mergeCell ref="M52:M53"/>
    <mergeCell ref="N52:N53"/>
    <mergeCell ref="S18:U18"/>
    <mergeCell ref="S20:U22"/>
    <mergeCell ref="C7:D7"/>
    <mergeCell ref="F7:G7"/>
    <mergeCell ref="F14:G14"/>
    <mergeCell ref="F15:G15"/>
    <mergeCell ref="F16:G16"/>
    <mergeCell ref="C8:D8"/>
    <mergeCell ref="F8:G8"/>
    <mergeCell ref="C9:D9"/>
    <mergeCell ref="F9:G9"/>
  </mergeCells>
  <conditionalFormatting sqref="A25">
    <cfRule type="beginsWith" dxfId="384" priority="40" operator="beginsWith" text="Nom">
      <formula>LEFT(A25,LEN("Nom"))="Nom"</formula>
    </cfRule>
  </conditionalFormatting>
  <conditionalFormatting sqref="A26">
    <cfRule type="containsText" dxfId="383" priority="14" operator="containsText" text="Nombre d'heures">
      <formula>NOT(ISERROR(SEARCH("Nombre d'heures",A26)))</formula>
    </cfRule>
  </conditionalFormatting>
  <conditionalFormatting sqref="A28">
    <cfRule type="containsText" dxfId="382" priority="42" operator="containsText" text="Nombre d'heures II">
      <formula>NOT(ISERROR(SEARCH("Nombre d'heures II",A28)))</formula>
    </cfRule>
  </conditionalFormatting>
  <conditionalFormatting sqref="A24:B24">
    <cfRule type="expression" dxfId="381" priority="39">
      <formula>$G$11="oui"</formula>
    </cfRule>
  </conditionalFormatting>
  <conditionalFormatting sqref="A25:B25">
    <cfRule type="expression" dxfId="380" priority="37">
      <formula>$P$10&gt;0.1</formula>
    </cfRule>
  </conditionalFormatting>
  <conditionalFormatting sqref="A50:B50">
    <cfRule type="expression" dxfId="379" priority="38">
      <formula>$G$11="ja"</formula>
    </cfRule>
  </conditionalFormatting>
  <conditionalFormatting sqref="A60:B64">
    <cfRule type="expression" dxfId="378" priority="33">
      <formula>$G$12="non"</formula>
    </cfRule>
  </conditionalFormatting>
  <conditionalFormatting sqref="B25">
    <cfRule type="beginsWith" dxfId="377" priority="34" operator="beginsWith" text="Nb">
      <formula>LEFT(B25,LEN("Nb"))="Nb"</formula>
    </cfRule>
  </conditionalFormatting>
  <conditionalFormatting sqref="B26">
    <cfRule type="containsText" dxfId="376" priority="13" operator="containsText" text="h">
      <formula>NOT(ISERROR(SEARCH("h",B26)))</formula>
    </cfRule>
  </conditionalFormatting>
  <conditionalFormatting sqref="B28">
    <cfRule type="containsText" dxfId="375" priority="35" operator="containsText" text="h">
      <formula>NOT(ISERROR(SEARCH("h",B28)))</formula>
    </cfRule>
  </conditionalFormatting>
  <conditionalFormatting sqref="C17">
    <cfRule type="expression" dxfId="374" priority="89">
      <formula>$A$17="13ème salaire"</formula>
    </cfRule>
  </conditionalFormatting>
  <conditionalFormatting sqref="C22:H22">
    <cfRule type="cellIs" dxfId="373" priority="26" operator="greaterThan">
      <formula>1</formula>
    </cfRule>
  </conditionalFormatting>
  <conditionalFormatting sqref="C23:H23 K23:P23">
    <cfRule type="expression" dxfId="372" priority="54">
      <formula>$B$23="CHF"</formula>
    </cfRule>
  </conditionalFormatting>
  <conditionalFormatting sqref="C24:H24 K24:P24">
    <cfRule type="expression" dxfId="371" priority="79">
      <formula>$G$11="ja"</formula>
    </cfRule>
  </conditionalFormatting>
  <conditionalFormatting sqref="C25:H25 K25:P25">
    <cfRule type="expression" dxfId="370" priority="65">
      <formula>$B$25="Anz."</formula>
    </cfRule>
  </conditionalFormatting>
  <conditionalFormatting sqref="C26:H26">
    <cfRule type="expression" dxfId="369" priority="16">
      <formula>$G$12="oui"</formula>
    </cfRule>
    <cfRule type="expression" dxfId="368" priority="17">
      <formula>$C$16="Salaire horaire"</formula>
    </cfRule>
  </conditionalFormatting>
  <conditionalFormatting sqref="C28:H28 K28:P28">
    <cfRule type="expression" dxfId="367" priority="80">
      <formula>$G$10="Ja"</formula>
    </cfRule>
  </conditionalFormatting>
  <conditionalFormatting sqref="C50:H50">
    <cfRule type="expression" dxfId="366" priority="72">
      <formula>C51&lt;-0.01</formula>
    </cfRule>
    <cfRule type="expression" dxfId="365" priority="71">
      <formula>C51&gt;0.01</formula>
    </cfRule>
  </conditionalFormatting>
  <conditionalFormatting sqref="C51:H51">
    <cfRule type="cellIs" dxfId="364" priority="76" operator="greaterThan">
      <formula>0.04</formula>
    </cfRule>
    <cfRule type="cellIs" dxfId="363" priority="75" operator="lessThan">
      <formula>-0.04</formula>
    </cfRule>
  </conditionalFormatting>
  <conditionalFormatting sqref="C60:Q63 C64:P64">
    <cfRule type="expression" dxfId="362" priority="68">
      <formula>$G$12="nein"</formula>
    </cfRule>
  </conditionalFormatting>
  <conditionalFormatting sqref="G1">
    <cfRule type="containsText" dxfId="361" priority="123" operator="containsText" text="Achtung Fehler">
      <formula>NOT(ISERROR(SEARCH("Achtung Fehler",G1)))</formula>
    </cfRule>
  </conditionalFormatting>
  <conditionalFormatting sqref="G10">
    <cfRule type="expression" dxfId="360" priority="58">
      <formula>$C$16="Salaire horaire"</formula>
    </cfRule>
  </conditionalFormatting>
  <conditionalFormatting sqref="H17:H18">
    <cfRule type="beginsWith" dxfId="359" priority="50" operator="beginsWith" text="ATT">
      <formula>LEFT(H17,LEN("ATT"))="ATT"</formula>
    </cfRule>
  </conditionalFormatting>
  <conditionalFormatting sqref="I25">
    <cfRule type="beginsWith" dxfId="358" priority="56" operator="beginsWith" text="Nom">
      <formula>LEFT(I25,LEN("Nom"))="Nom"</formula>
    </cfRule>
  </conditionalFormatting>
  <conditionalFormatting sqref="I26">
    <cfRule type="containsText" dxfId="357" priority="19" operator="containsText" text="Nombre d'heures">
      <formula>NOT(ISERROR(SEARCH("Nombre d'heures",I26)))</formula>
    </cfRule>
  </conditionalFormatting>
  <conditionalFormatting sqref="I28">
    <cfRule type="containsText" dxfId="356" priority="64" operator="containsText" text="Nombre d'heures II">
      <formula>NOT(ISERROR(SEARCH("Nombre d'heures II",I28)))</formula>
    </cfRule>
  </conditionalFormatting>
  <conditionalFormatting sqref="I24:J24">
    <cfRule type="expression" dxfId="355" priority="67">
      <formula>$G$11="oui"</formula>
    </cfRule>
  </conditionalFormatting>
  <conditionalFormatting sqref="I25:J25">
    <cfRule type="expression" dxfId="354" priority="57">
      <formula>$P$10&gt;0.1</formula>
    </cfRule>
  </conditionalFormatting>
  <conditionalFormatting sqref="I50:J50">
    <cfRule type="expression" dxfId="353" priority="66">
      <formula>$G$11="ja"</formula>
    </cfRule>
  </conditionalFormatting>
  <conditionalFormatting sqref="J25">
    <cfRule type="beginsWith" dxfId="352" priority="55" operator="beginsWith" text="Anz">
      <formula>LEFT(J25,LEN("Anz"))="Anz"</formula>
    </cfRule>
  </conditionalFormatting>
  <conditionalFormatting sqref="J26">
    <cfRule type="containsText" dxfId="351" priority="18" operator="containsText" text="h">
      <formula>NOT(ISERROR(SEARCH("h",J26)))</formula>
    </cfRule>
  </conditionalFormatting>
  <conditionalFormatting sqref="J28">
    <cfRule type="containsText" dxfId="350" priority="59" operator="containsText" text="Std.">
      <formula>NOT(ISERROR(SEARCH("Std.",J28)))</formula>
    </cfRule>
    <cfRule type="containsText" dxfId="349" priority="60" operator="containsText" text="Std.">
      <formula>NOT(ISERROR(SEARCH("Std.",J28)))</formula>
    </cfRule>
    <cfRule type="containsText" dxfId="348" priority="61" operator="containsText" text="Std.">
      <formula>NOT(ISERROR(SEARCH("Std.",J28)))</formula>
    </cfRule>
  </conditionalFormatting>
  <conditionalFormatting sqref="K22:P22">
    <cfRule type="cellIs" dxfId="347" priority="27" operator="greaterThan">
      <formula>1</formula>
    </cfRule>
  </conditionalFormatting>
  <conditionalFormatting sqref="K26:P26">
    <cfRule type="expression" dxfId="346" priority="20">
      <formula>$G$12="oui"</formula>
    </cfRule>
    <cfRule type="expression" dxfId="345" priority="21">
      <formula>$C$16="Salaire horaire"</formula>
    </cfRule>
  </conditionalFormatting>
  <conditionalFormatting sqref="K50:P50">
    <cfRule type="expression" dxfId="344" priority="69">
      <formula>K51&gt;0.01</formula>
    </cfRule>
    <cfRule type="expression" dxfId="343" priority="70">
      <formula>K51&lt;-0.01</formula>
    </cfRule>
  </conditionalFormatting>
  <conditionalFormatting sqref="K51:P51">
    <cfRule type="cellIs" dxfId="342" priority="73" operator="lessThan">
      <formula>-0.04</formula>
    </cfRule>
    <cfRule type="cellIs" dxfId="341" priority="74" operator="greaterThan">
      <formula>0.04</formula>
    </cfRule>
  </conditionalFormatting>
  <conditionalFormatting sqref="L7">
    <cfRule type="expression" dxfId="340" priority="45">
      <formula>$C$16="à choisir"</formula>
    </cfRule>
  </conditionalFormatting>
  <conditionalFormatting sqref="L12">
    <cfRule type="expression" dxfId="339" priority="48">
      <formula>$G$10="oui"</formula>
    </cfRule>
  </conditionalFormatting>
  <conditionalFormatting sqref="M8">
    <cfRule type="expression" dxfId="338" priority="44">
      <formula>$C$16="Salaire horaire"</formula>
    </cfRule>
    <cfRule type="expression" dxfId="337" priority="43">
      <formula>$C$16="salaire mensuel"</formula>
    </cfRule>
  </conditionalFormatting>
  <conditionalFormatting sqref="M13">
    <cfRule type="expression" dxfId="336" priority="46">
      <formula>$G$10="oui"</formula>
    </cfRule>
  </conditionalFormatting>
  <conditionalFormatting sqref="P1">
    <cfRule type="containsText" dxfId="335" priority="122" operator="containsText" text="Achtung Fehler">
      <formula>NOT(ISERROR(SEARCH("Achtung Fehler",P1)))</formula>
    </cfRule>
  </conditionalFormatting>
  <conditionalFormatting sqref="P7">
    <cfRule type="expression" dxfId="334" priority="47">
      <formula>$Q$7="du Sal.horaire"</formula>
    </cfRule>
  </conditionalFormatting>
  <conditionalFormatting sqref="P10">
    <cfRule type="expression" dxfId="333" priority="49">
      <formula>$Q$10="heures"</formula>
    </cfRule>
  </conditionalFormatting>
  <conditionalFormatting sqref="Q64">
    <cfRule type="expression" dxfId="332" priority="32">
      <formula>$G$12="non"</formula>
    </cfRule>
  </conditionalFormatting>
  <conditionalFormatting sqref="S20">
    <cfRule type="beginsWith" dxfId="331" priority="5" operator="beginsWith" text="Vereinfachtes">
      <formula>LEFT(S20,LEN("Vereinfachtes"))="Vereinfachtes"</formula>
    </cfRule>
    <cfRule type="beginsWith" dxfId="330" priority="4" operator="beginsWith" text="Hinweis">
      <formula>LEFT(S20,LEN("Hinweis"))="Hinweis"</formula>
    </cfRule>
    <cfRule type="beginsWith" dxfId="329" priority="3" operator="beginsWith" text="ACHTUNG">
      <formula>LEFT(S20,LEN("ACHTUNG"))="ACHTUNG"</formula>
    </cfRule>
  </conditionalFormatting>
  <conditionalFormatting sqref="S24">
    <cfRule type="beginsWith" dxfId="328" priority="2" operator="beginsWith" text="ACHTUNG">
      <formula>LEFT(S24,LEN("ACHTUNG"))="ACHTUNG"</formula>
    </cfRule>
  </conditionalFormatting>
  <conditionalFormatting sqref="S28">
    <cfRule type="beginsWith" dxfId="327" priority="1" operator="beginsWith" text="ACHTUNG">
      <formula>LEFT(S28,LEN("ACHTUNG"))="ACHTUNG"</formula>
    </cfRule>
  </conditionalFormatting>
  <conditionalFormatting sqref="S36:S37">
    <cfRule type="beginsWith" dxfId="326" priority="6" operator="beginsWith" text="ACHTUNG">
      <formula>LEFT(S36,LEN("ACHTUNG"))="ACHTUNG"</formula>
    </cfRule>
  </conditionalFormatting>
  <conditionalFormatting sqref="W1:AJ10 W11:X12 Z11:AJ12">
    <cfRule type="expression" dxfId="325" priority="51">
      <formula>W1&lt;&gt;""</formula>
    </cfRule>
  </conditionalFormatting>
  <conditionalFormatting sqref="W13:AJ1048576">
    <cfRule type="expression" dxfId="324" priority="15">
      <formula>W13&lt;&gt;""</formula>
    </cfRule>
  </conditionalFormatting>
  <dataValidations count="7">
    <dataValidation type="list" allowBlank="1" showInputMessage="1" showErrorMessage="1" sqref="F9:G9" xr:uid="{AB707736-300D-453A-833F-A972E5422075}">
      <formula1>$AB$6:$AB$19</formula1>
    </dataValidation>
    <dataValidation type="list" allowBlank="1" showInputMessage="1" showErrorMessage="1" sqref="G10" xr:uid="{E9A415CF-B3D2-4C29-82A3-F8F448D3B090}">
      <formula1>$AC$13:$AC$14</formula1>
    </dataValidation>
    <dataValidation type="list" allowBlank="1" showInputMessage="1" showErrorMessage="1" sqref="C17" xr:uid="{C9BD197E-58B7-4C33-AD05-1EA135DF494D}">
      <formula1>$Y$11:$Y$12</formula1>
    </dataValidation>
    <dataValidation type="list" allowBlank="1" showInputMessage="1" showErrorMessage="1" sqref="C10" xr:uid="{A3167E0C-0C51-4AA6-9749-D68DE081D4E1}">
      <formula1>$X$6:$X$8</formula1>
    </dataValidation>
    <dataValidation type="list" allowBlank="1" showInputMessage="1" showErrorMessage="1" sqref="C16" xr:uid="{662D527F-F2BD-4DF0-B8DD-A12DE2C9E6DB}">
      <formula1>$X$11:$X$13</formula1>
    </dataValidation>
    <dataValidation type="list" allowBlank="1" showInputMessage="1" showErrorMessage="1" sqref="G11:G12" xr:uid="{6247EA75-50A6-4160-B91D-9F7037DB210D}">
      <formula1>$AH$6:$AH$8</formula1>
    </dataValidation>
    <dataValidation type="list" allowBlank="1" showInputMessage="1" showErrorMessage="1" sqref="G13" xr:uid="{BD3FCFD3-EC08-4AD6-9F21-14EBE631545C}">
      <formula1>$Y$6:$Y$8</formula1>
    </dataValidation>
  </dataValidations>
  <hyperlinks>
    <hyperlink ref="P1:Q3" location="Fehler1" display="Fehler1" xr:uid="{15492ABC-39F7-4548-9992-48874D9CAA3F}"/>
    <hyperlink ref="G1:H3" location="Fehler1" display="Fehler1" xr:uid="{A01236CA-1914-4A25-A0A2-34DC51F9819D}"/>
  </hyperlinks>
  <pageMargins left="0.23622047244094491" right="0.23622047244094491" top="0.74803149606299213" bottom="0.74803149606299213" header="0.31496062992125984" footer="0.31496062992125984"/>
  <pageSetup paperSize="9" scale="81" fitToWidth="2" pageOrder="overThenDown" orientation="portrait" r:id="rId1"/>
  <headerFooter>
    <oddHeader>&amp;R&amp;"Arial,Standard"&amp;9Koordinationsstelle &amp;"MS Sans Serif,Standard"&amp;10
&amp;"Arial,Fett"&amp;9Berner Modell&amp;"Arial,Standard" - freie Lebensgestaltung von Menschen mit Behinderungen
HelpLine 031 300 33 70 / info@bernermodell.ch</oddHeader>
    <oddFooter>&amp;L&amp;"Arial,Standard"&amp;9Seite &amp;P von &amp;N&amp;R&amp;"Arial,Standard"&amp;9Lohnprogramm V10.0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BD"/>
    <pageSetUpPr fitToPage="1"/>
  </sheetPr>
  <dimension ref="A1:AK83"/>
  <sheetViews>
    <sheetView showGridLines="0" showZeros="0" zoomScaleNormal="100" workbookViewId="0">
      <selection activeCell="C6" sqref="C6:D6"/>
    </sheetView>
  </sheetViews>
  <sheetFormatPr baseColWidth="10" defaultColWidth="11.453125" defaultRowHeight="12.5" x14ac:dyDescent="0.25"/>
  <cols>
    <col min="1" max="1" width="20.81640625" style="1" customWidth="1"/>
    <col min="2" max="2" width="4.54296875" style="1" bestFit="1" customWidth="1"/>
    <col min="3" max="4" width="13.7265625" style="1" customWidth="1"/>
    <col min="5" max="5" width="14.54296875" style="1" customWidth="1"/>
    <col min="6" max="8" width="13.7265625" style="1" customWidth="1"/>
    <col min="9" max="9" width="21.1796875" style="1" customWidth="1"/>
    <col min="10" max="10" width="4.54296875" style="1" bestFit="1" customWidth="1"/>
    <col min="11" max="16" width="12.26953125" style="1" customWidth="1"/>
    <col min="17" max="17" width="14.26953125" style="1" bestFit="1" customWidth="1"/>
    <col min="18" max="18" width="5" style="1" customWidth="1"/>
    <col min="19" max="19" width="29" style="1" customWidth="1"/>
    <col min="20" max="20" width="21" style="1" customWidth="1"/>
    <col min="21" max="21" width="15.7265625" style="1" customWidth="1"/>
    <col min="22" max="22" width="8" style="1" customWidth="1"/>
    <col min="23" max="23" width="15.26953125" style="1" hidden="1" customWidth="1"/>
    <col min="24" max="31" width="15.26953125" style="68" hidden="1" customWidth="1"/>
    <col min="32" max="35" width="15.26953125" style="1" hidden="1" customWidth="1"/>
    <col min="36" max="37" width="15.26953125" style="1" customWidth="1"/>
    <col min="38" max="16384" width="11.453125" style="1"/>
  </cols>
  <sheetData>
    <row r="1" spans="1:35" ht="12.75" customHeight="1" x14ac:dyDescent="0.25">
      <c r="A1" s="474" t="str">
        <f>'PA 1'!A1:C1</f>
        <v>Nom/Prénom employeur</v>
      </c>
      <c r="B1" s="474"/>
      <c r="C1" s="474"/>
      <c r="D1" s="473" t="str">
        <f>"Programme de salaire "&amp;Grundlagen!$D$1</f>
        <v>Programme de salaire 2026</v>
      </c>
      <c r="E1" s="473"/>
      <c r="F1" s="473"/>
      <c r="G1" s="460" t="str">
        <f>IF($W45&gt;4,"Attention erreur!",IF($W$45&gt;0,"Attention remarque!",""))</f>
        <v/>
      </c>
      <c r="H1" s="460"/>
      <c r="I1" s="475" t="str">
        <f>A1</f>
        <v>Nom/Prénom employeur</v>
      </c>
      <c r="J1" s="475"/>
      <c r="K1" s="475"/>
      <c r="L1" s="473" t="str">
        <f>D1</f>
        <v>Programme de salaire 2026</v>
      </c>
      <c r="M1" s="473"/>
      <c r="N1" s="473"/>
      <c r="P1" s="460" t="str">
        <f>IF($W45&gt;4,"Attention erreur!",IF($W$45&gt;0,"Attention remarque!",""))</f>
        <v/>
      </c>
      <c r="Q1" s="460"/>
      <c r="S1" s="250" t="s">
        <v>55</v>
      </c>
      <c r="T1" s="264"/>
      <c r="U1" s="441" t="s">
        <v>56</v>
      </c>
      <c r="V1" s="442" t="s">
        <v>57</v>
      </c>
      <c r="W1" s="425"/>
      <c r="AE1" s="1"/>
    </row>
    <row r="2" spans="1:35" ht="12.75" customHeight="1" x14ac:dyDescent="0.25">
      <c r="A2" s="474" t="str">
        <f>'PA 1'!A2:C2</f>
        <v>Lieu employeur</v>
      </c>
      <c r="B2" s="474"/>
      <c r="C2" s="474"/>
      <c r="D2" s="473"/>
      <c r="E2" s="473"/>
      <c r="F2" s="473"/>
      <c r="G2" s="460"/>
      <c r="H2" s="460"/>
      <c r="I2" s="475" t="str">
        <f>A2</f>
        <v>Lieu employeur</v>
      </c>
      <c r="J2" s="475"/>
      <c r="K2" s="475"/>
      <c r="L2" s="473"/>
      <c r="M2" s="473"/>
      <c r="N2" s="473"/>
      <c r="P2" s="460"/>
      <c r="Q2" s="460"/>
      <c r="S2" s="253" t="s">
        <v>59</v>
      </c>
      <c r="T2" s="2"/>
      <c r="U2" s="225">
        <f>IF(C16="Salaire horaire",(M8*M7*52)+(M13*M12*52),(M8+Y13)*12)</f>
        <v>0</v>
      </c>
      <c r="V2" s="265"/>
      <c r="W2" s="425"/>
      <c r="Y2" s="478" t="s">
        <v>60</v>
      </c>
      <c r="AA2" s="478" t="str">
        <f>"Jahreslohn gesamt &gt; CHF "&amp;Grundlagen!$B$9</f>
        <v>Jahreslohn gesamt &gt; CHF 58800</v>
      </c>
      <c r="AE2" s="1"/>
    </row>
    <row r="3" spans="1:35" ht="5.15" customHeight="1" x14ac:dyDescent="0.25">
      <c r="G3" s="460"/>
      <c r="H3" s="460"/>
      <c r="P3" s="460"/>
      <c r="Q3" s="460"/>
      <c r="S3" s="258"/>
      <c r="V3" s="254"/>
      <c r="W3" s="425"/>
      <c r="Y3" s="478"/>
      <c r="AA3" s="478"/>
      <c r="AE3" s="1"/>
    </row>
    <row r="4" spans="1:35" ht="15" customHeight="1" thickBot="1" x14ac:dyDescent="0.35">
      <c r="A4" s="41" t="s">
        <v>61</v>
      </c>
      <c r="B4" s="41"/>
      <c r="C4" s="41"/>
      <c r="D4" s="41"/>
      <c r="E4" s="42"/>
      <c r="F4" s="42"/>
      <c r="G4" s="42"/>
      <c r="H4" s="51" t="str">
        <f>CONCATENATE($C$6," ",$C$7)</f>
        <v xml:space="preserve"> </v>
      </c>
      <c r="I4" s="440" t="s">
        <v>62</v>
      </c>
      <c r="J4" s="440"/>
      <c r="K4" s="440"/>
      <c r="L4" s="440"/>
      <c r="M4" s="42"/>
      <c r="N4" s="42"/>
      <c r="O4" s="42"/>
      <c r="P4" s="42"/>
      <c r="Q4" s="51" t="str">
        <f>CONCATENATE($C$6," ",$C$7)</f>
        <v xml:space="preserve"> </v>
      </c>
      <c r="S4" s="467" t="s">
        <v>63</v>
      </c>
      <c r="T4" s="468"/>
      <c r="U4" s="266">
        <f>((U2-(U2*SUM(T8:T14,T16,Y9)+(12*T15)))*Z14)</f>
        <v>0</v>
      </c>
      <c r="V4" s="267">
        <f>U4/365</f>
        <v>0</v>
      </c>
      <c r="W4" s="425"/>
      <c r="X4" s="476" t="s">
        <v>64</v>
      </c>
      <c r="Y4" s="478"/>
      <c r="Z4" s="476" t="s">
        <v>65</v>
      </c>
      <c r="AA4" s="478"/>
      <c r="AB4" s="479" t="s">
        <v>66</v>
      </c>
      <c r="AC4" s="480" t="s">
        <v>67</v>
      </c>
      <c r="AD4" s="477" t="s">
        <v>68</v>
      </c>
      <c r="AE4" s="1"/>
      <c r="AH4" s="476" t="s">
        <v>69</v>
      </c>
      <c r="AI4" s="476"/>
    </row>
    <row r="5" spans="1:35" ht="5.15" customHeight="1" x14ac:dyDescent="0.25">
      <c r="X5" s="476"/>
      <c r="Y5" s="478"/>
      <c r="Z5" s="476"/>
      <c r="AA5" s="478"/>
      <c r="AB5" s="479"/>
      <c r="AC5" s="480"/>
      <c r="AD5" s="477"/>
      <c r="AE5" s="2"/>
      <c r="AF5" s="4"/>
      <c r="AG5" s="48"/>
      <c r="AH5" s="476"/>
      <c r="AI5" s="476"/>
    </row>
    <row r="6" spans="1:35" s="2" customFormat="1" ht="13.5" thickBot="1" x14ac:dyDescent="0.35">
      <c r="A6" s="2" t="s">
        <v>70</v>
      </c>
      <c r="C6" s="466"/>
      <c r="D6" s="466"/>
      <c r="E6" s="2" t="s">
        <v>71</v>
      </c>
      <c r="F6" s="461"/>
      <c r="G6" s="466"/>
      <c r="I6" s="6" t="s">
        <v>72</v>
      </c>
      <c r="N6" s="6" t="str">
        <f>IF(AND(C16="Salaire horaire",G11="oui"),"Calcul de l'indemnité les heures de garde","")</f>
        <v/>
      </c>
      <c r="W6" s="426"/>
      <c r="X6" s="2" t="s">
        <v>73</v>
      </c>
      <c r="Y6" s="2" t="s">
        <v>73</v>
      </c>
      <c r="Z6" s="2" t="str">
        <f>IF(OR(G13="simplifiée",G13="à choisir"),"simplifiée","")</f>
        <v>simplifiée</v>
      </c>
      <c r="AA6" s="59" t="str">
        <f>IF('Attestation du salaire (simpl.)'!H43&lt;Grundlagen!$B$9,"non","oui")</f>
        <v>non</v>
      </c>
      <c r="AB6" s="232" t="s">
        <v>73</v>
      </c>
      <c r="AC6" s="59" t="str">
        <f>IF(OR(F9="Parents",F9="Enfant", F9="Grands-parents", F9="Petit-fils/fille", F9="Conjoint-e", F9="Partenariat enrégistré", F9="Concubin-e"),"oui","non")</f>
        <v>non</v>
      </c>
      <c r="AD6" s="59" t="e">
        <f>IF(C16="Salaire horaire",IF(OR(M8&lt;21.6,M8&gt;21.6),"non",IF(M13="","oui",IF(OR(M13&lt;21.6,M13&gt;21.6),"non","oui"))),IF(C17="non",IF(AD9=3930,"oui","non"),IF(AD10=3630,"oui","non")))</f>
        <v>#DIV/0!</v>
      </c>
      <c r="AF6" s="5" t="s">
        <v>74</v>
      </c>
      <c r="AG6" s="49"/>
      <c r="AH6" s="2" t="s">
        <v>73</v>
      </c>
    </row>
    <row r="7" spans="1:35" s="2" customFormat="1" ht="13" x14ac:dyDescent="0.3">
      <c r="A7" s="2" t="s">
        <v>75</v>
      </c>
      <c r="C7" s="466"/>
      <c r="D7" s="466"/>
      <c r="E7" s="2" t="s">
        <v>76</v>
      </c>
      <c r="F7" s="461"/>
      <c r="G7" s="461"/>
      <c r="I7" s="2" t="str">
        <f>IF(C16="Salaire horaire",IF(G10="oui","Taux d'occupation I","Taux d'occupation"),IF(C16="Salaire mensuel","Taux d'occupation",""))</f>
        <v/>
      </c>
      <c r="L7" s="380"/>
      <c r="M7" s="443">
        <f>42*L7</f>
        <v>0</v>
      </c>
      <c r="N7" s="2" t="str">
        <f>IF(AND(C16="Salaire horaire",G11="oui"),"1 heure de garde =","")</f>
        <v/>
      </c>
      <c r="P7" s="308"/>
      <c r="Q7" s="2" t="str">
        <f>IF(AND(C16="Salaire horaire",G11="oui"),"du Sal.horaire","")</f>
        <v/>
      </c>
      <c r="S7" s="250" t="s">
        <v>77</v>
      </c>
      <c r="T7" s="251" t="s">
        <v>78</v>
      </c>
      <c r="U7" s="252"/>
      <c r="W7" s="1"/>
      <c r="X7" s="2" t="s">
        <v>79</v>
      </c>
      <c r="Y7" s="2" t="s">
        <v>80</v>
      </c>
      <c r="Z7" s="59" t="str">
        <f>IF(OR(G13="ordinaire",G13="à choisir"),"ordinaire","")</f>
        <v>ordinaire</v>
      </c>
      <c r="AA7" s="59"/>
      <c r="AB7" s="59" t="s">
        <v>81</v>
      </c>
      <c r="AD7" s="59" t="e">
        <f>IF(C16="Salaire horaire",IF(OR(M8&lt;21.6,M8&gt;56.5),"non",IF(M13="","oui",IF(OR(M13&lt;21.6,M13&gt;56.5),"non","oui"))),IF(C17="non",IF(AD9&lt;3930,"non","oui"),IF(AD10&lt;3630,"non","oui")))</f>
        <v>#DIV/0!</v>
      </c>
      <c r="AF7" s="5" t="s">
        <v>82</v>
      </c>
      <c r="AG7" s="49">
        <v>0</v>
      </c>
      <c r="AH7" s="2" t="s">
        <v>83</v>
      </c>
    </row>
    <row r="8" spans="1:35" s="2" customFormat="1" ht="12" customHeight="1" x14ac:dyDescent="0.3">
      <c r="A8" s="2" t="s">
        <v>84</v>
      </c>
      <c r="C8" s="466"/>
      <c r="D8" s="466"/>
      <c r="E8" s="2" t="s">
        <v>85</v>
      </c>
      <c r="F8" s="466"/>
      <c r="G8" s="466"/>
      <c r="I8" s="5" t="str">
        <f>IF(AND($C$16="Salaire horaire",OR(H10="à choisir",G10="non")),"Salaire horaire (avec suppl. vacances)",IF(AND($C$16="Salaire horaire",$G$10="oui"),"Salaire horaire I (avec suppl. vacances)",IF(C16="Salaire mensuel","Salaire mensuel","")))</f>
        <v/>
      </c>
      <c r="L8" s="4">
        <v>0</v>
      </c>
      <c r="M8" s="249"/>
      <c r="S8" s="253" t="s">
        <v>86</v>
      </c>
      <c r="T8" s="255">
        <f>IF(F7="",0,IF(DATEDIF($F$7,$A$21,"Y")&lt;18,0,Grundlagen!$B$5))</f>
        <v>0</v>
      </c>
      <c r="U8" s="254"/>
      <c r="W8" s="427"/>
      <c r="X8" s="2" t="s">
        <v>87</v>
      </c>
      <c r="Y8" s="59" t="s">
        <v>88</v>
      </c>
      <c r="Z8" s="59"/>
      <c r="AB8" s="59" t="s">
        <v>89</v>
      </c>
      <c r="AD8" s="2" t="e">
        <f>IF(C16="Salaire horaire",IF(OR(M8&lt;21.6,M8&gt;56.5,M13&lt;21.6,M13&gt;56.5),"non","oui"),IF(C17="non",IF(AD9&lt;10290.1,"non","oui"),IF(AD10&lt;9500.1,"non","oui")))</f>
        <v>#DIV/0!</v>
      </c>
      <c r="AF8" s="5"/>
      <c r="AG8" s="49"/>
      <c r="AH8" s="2" t="s">
        <v>90</v>
      </c>
    </row>
    <row r="9" spans="1:35" s="2" customFormat="1" ht="13" x14ac:dyDescent="0.3">
      <c r="A9" s="2" t="s">
        <v>91</v>
      </c>
      <c r="C9" s="466"/>
      <c r="D9" s="466"/>
      <c r="E9" s="2" t="s">
        <v>92</v>
      </c>
      <c r="F9" s="469" t="s">
        <v>73</v>
      </c>
      <c r="G9" s="469"/>
      <c r="I9" s="4" t="str">
        <f>IF($C$16="Salaire horaire","Suppl. vacances","")</f>
        <v/>
      </c>
      <c r="K9" s="4" t="str">
        <f>IF($C$16="Salaire horaire",(IF(L9=8.33%,"4 semaines","5 semaines")),"")</f>
        <v/>
      </c>
      <c r="L9" s="48" t="str">
        <f>IF($C$16="Salaire horaire",(IF(OR((DATEDIF($F$7,$C$21,"Y")&lt;20),(DATEDIF($F$7,$C$21,"Y")&gt;49)),10.64%,8.33%)),"")</f>
        <v/>
      </c>
      <c r="M9" s="247" t="str">
        <f>IF($C$16="Salaire horaire",M8/(1+L9)*L9,"")</f>
        <v/>
      </c>
      <c r="N9" s="6" t="str">
        <f>IF(C16="Salaire horaire","Conversion des engagements de nuit en heures","")</f>
        <v/>
      </c>
      <c r="S9" s="253" t="s">
        <v>93</v>
      </c>
      <c r="T9" s="255">
        <f>IF(F7="",0,IF(DATEDIF($F$7,$A$21,"Y")&lt;18,0,IF($C$67="oui",0,Grundlagen!$B$6)))</f>
        <v>0</v>
      </c>
      <c r="U9" s="256"/>
      <c r="W9" s="428"/>
      <c r="Y9" s="75">
        <f>IF(G13="à choisir",0,IF(AND(Z6="simplifiée",'PA 2'!Z6="simplifiée",'PA 3'!Z6="simplifiée",'PA 4'!Z6="simplifiée",'PA 5'!Z6="simplifiée",'PA 6'!Z6="simplifiée",'PA 7'!Z6="simplifiée",'PA 8'!Z6="simplifiée",'PA 9'!Z6="simplifiée"),IF(DATEDIF($F$7,D21,"Y")&lt;17,0%,5%),0%))</f>
        <v>0</v>
      </c>
      <c r="Z9" s="59"/>
      <c r="AB9" s="59" t="s">
        <v>94</v>
      </c>
      <c r="AD9" s="59" t="e">
        <f>ROUND(M8/L7,0)</f>
        <v>#DIV/0!</v>
      </c>
      <c r="AF9" s="5"/>
      <c r="AG9" s="49"/>
    </row>
    <row r="10" spans="1:35" s="2" customFormat="1" ht="13" x14ac:dyDescent="0.3">
      <c r="A10" s="2" t="s">
        <v>95</v>
      </c>
      <c r="C10" s="378" t="s">
        <v>73</v>
      </c>
      <c r="E10" s="2" t="str">
        <f>IF(C16="Salaire horaire","Avez-vous 2 différents sal. horaire?","")</f>
        <v/>
      </c>
      <c r="G10" s="391"/>
      <c r="H10" s="176" t="str">
        <f>IF(G10&gt;1,"",IF(C16="Salaire horaire","à choisir",""))</f>
        <v/>
      </c>
      <c r="I10" s="5" t="str">
        <f>IF(AND($C$16="Salaire horaire",OR(H10="à choisir",G10="non")),"Salaire horaire (sans Suppl. vacances)",IF(AND($C$16="Salaire horaire",$G$10="oui"),"Salaire horaire I (sans Suppl. vacances)",""))</f>
        <v/>
      </c>
      <c r="M10" s="248" t="str">
        <f>IF($C$16="Salaire horaire",M8-M9,"")</f>
        <v/>
      </c>
      <c r="N10" s="2" t="str">
        <f>IF(C16="Salaire horaire","1 nuit correspond à","")</f>
        <v/>
      </c>
      <c r="P10" s="268"/>
      <c r="Q10" s="2" t="str">
        <f>IF(C16="Salaire horaire","heures","")</f>
        <v/>
      </c>
      <c r="S10" s="253"/>
      <c r="T10" s="255"/>
      <c r="U10" s="256"/>
      <c r="W10" s="1"/>
      <c r="X10" s="6" t="s">
        <v>96</v>
      </c>
      <c r="Y10" s="6" t="s">
        <v>97</v>
      </c>
      <c r="Z10" s="64" t="s">
        <v>98</v>
      </c>
      <c r="AB10" s="59" t="s">
        <v>99</v>
      </c>
      <c r="AD10" s="59" t="e">
        <f>ROUND(M8/L7,0)</f>
        <v>#DIV/0!</v>
      </c>
    </row>
    <row r="11" spans="1:35" s="2" customFormat="1" ht="13.5" customHeight="1" x14ac:dyDescent="0.3">
      <c r="A11" s="2" t="s">
        <v>100</v>
      </c>
      <c r="C11" s="378"/>
      <c r="E11" s="2" t="s">
        <v>101</v>
      </c>
      <c r="G11" s="381" t="s">
        <v>73</v>
      </c>
      <c r="S11" s="253" t="s">
        <v>102</v>
      </c>
      <c r="T11" s="387"/>
      <c r="U11" s="257" t="s">
        <v>103</v>
      </c>
      <c r="W11" s="1"/>
      <c r="X11" s="2" t="s">
        <v>73</v>
      </c>
      <c r="Y11" s="2" t="str">
        <f>IF(C16="Salaire mensuel","oui","")</f>
        <v/>
      </c>
      <c r="Z11" s="188">
        <f>IF(G13="simplifiée",126.8%,0)</f>
        <v>0</v>
      </c>
      <c r="AB11" s="59" t="s">
        <v>104</v>
      </c>
      <c r="AD11" s="59"/>
    </row>
    <row r="12" spans="1:35" s="2" customFormat="1" ht="13.5" customHeight="1" x14ac:dyDescent="0.3">
      <c r="A12" s="2" t="s">
        <v>105</v>
      </c>
      <c r="C12" s="378"/>
      <c r="E12" s="2" t="s">
        <v>106</v>
      </c>
      <c r="G12" s="381" t="s">
        <v>73</v>
      </c>
      <c r="I12" s="2" t="str">
        <f>IF(G10="oui","Taux d'occupation II","")</f>
        <v/>
      </c>
      <c r="L12" s="224"/>
      <c r="M12" s="246">
        <f>42*L12</f>
        <v>0</v>
      </c>
      <c r="S12" s="253"/>
      <c r="T12" s="1"/>
      <c r="U12" s="254"/>
      <c r="W12" s="1"/>
      <c r="X12" s="2" t="s">
        <v>107</v>
      </c>
      <c r="Y12" s="2" t="str">
        <f>IF(C16="Salaire mensuel","non","")</f>
        <v/>
      </c>
      <c r="Z12" s="188">
        <f>IF(AND(G13="ordinaire",T15=0,T16=0),119.9%,0)</f>
        <v>0</v>
      </c>
      <c r="AA12" s="59"/>
      <c r="AB12" s="59" t="s">
        <v>108</v>
      </c>
      <c r="AC12" s="64" t="s">
        <v>109</v>
      </c>
      <c r="AD12" s="59"/>
    </row>
    <row r="13" spans="1:35" s="2" customFormat="1" ht="12.75" customHeight="1" x14ac:dyDescent="0.3">
      <c r="A13" s="2" t="s">
        <v>110</v>
      </c>
      <c r="C13" s="378"/>
      <c r="E13" s="2" t="s">
        <v>111</v>
      </c>
      <c r="G13" s="381" t="s">
        <v>73</v>
      </c>
      <c r="I13" s="5" t="str">
        <f>IF(G10="oui","Salaire horaire II (avec Suppl. vacances)","")</f>
        <v/>
      </c>
      <c r="L13" s="4"/>
      <c r="M13" s="249"/>
      <c r="S13" s="253" t="s">
        <v>112</v>
      </c>
      <c r="T13" s="388"/>
      <c r="U13" s="257" t="s">
        <v>103</v>
      </c>
      <c r="W13" s="425"/>
      <c r="X13" s="2" t="s">
        <v>113</v>
      </c>
      <c r="Y13" s="2">
        <f>IF(C17="oui",M8/12,0)</f>
        <v>0</v>
      </c>
      <c r="Z13" s="188">
        <f>IF(OR(T15&gt;0,T16&gt;0),129.2%,0)</f>
        <v>0</v>
      </c>
      <c r="AA13" s="59"/>
      <c r="AB13" s="59" t="s">
        <v>114</v>
      </c>
      <c r="AC13" s="59" t="s">
        <v>83</v>
      </c>
      <c r="AD13" s="59"/>
    </row>
    <row r="14" spans="1:35" s="2" customFormat="1" ht="12.75" customHeight="1" x14ac:dyDescent="0.3">
      <c r="A14" s="2" t="s">
        <v>115</v>
      </c>
      <c r="C14" s="379"/>
      <c r="E14" s="2" t="s">
        <v>116</v>
      </c>
      <c r="F14" s="466"/>
      <c r="G14" s="466"/>
      <c r="I14" s="4" t="str">
        <f>IF(G10="oui","Suppl. vacances","")</f>
        <v/>
      </c>
      <c r="K14" s="4" t="str">
        <f>IF($G$10="oui",(IF(L14=8.33%,"4 semaines","5 semaines")),"")</f>
        <v/>
      </c>
      <c r="L14" s="48" t="str">
        <f>IF(G10="oui",(IF(OR((DATEDIF($F$7,$C$21,"Y")&lt;20),(DATEDIF($F$7,$C$21,"Y")&gt;49)),10.64%,8.33%)),"")</f>
        <v/>
      </c>
      <c r="M14" s="247" t="str">
        <f>IF(G10="oui",M13/(1+L14)*L14,"")</f>
        <v/>
      </c>
      <c r="S14" s="258"/>
      <c r="T14" s="1"/>
      <c r="U14" s="254"/>
      <c r="W14" s="425"/>
      <c r="Y14" s="157">
        <f>M8</f>
        <v>0</v>
      </c>
      <c r="Z14" s="188">
        <f>SUM(Z11:Z13)</f>
        <v>0</v>
      </c>
      <c r="AA14" s="59"/>
      <c r="AB14" s="58" t="s">
        <v>117</v>
      </c>
      <c r="AC14" s="59" t="s">
        <v>90</v>
      </c>
      <c r="AD14" s="59"/>
    </row>
    <row r="15" spans="1:35" s="2" customFormat="1" ht="12.75" customHeight="1" x14ac:dyDescent="0.3">
      <c r="A15" s="2" t="s">
        <v>118</v>
      </c>
      <c r="C15" s="379"/>
      <c r="E15" s="2" t="s">
        <v>119</v>
      </c>
      <c r="F15" s="466"/>
      <c r="G15" s="466"/>
      <c r="I15" s="5" t="str">
        <f>IF(G10="oui","Salaire horaire II (sans Suppl. vacances)","")</f>
        <v/>
      </c>
      <c r="M15" s="248" t="str">
        <f>IF(G10="oui",M13-M14,"")</f>
        <v/>
      </c>
      <c r="S15" s="253" t="s">
        <v>120</v>
      </c>
      <c r="T15" s="389"/>
      <c r="U15" s="259" t="s">
        <v>121</v>
      </c>
      <c r="W15" s="1"/>
      <c r="Y15" s="2">
        <f>SUM(Y13:Y14)</f>
        <v>0</v>
      </c>
      <c r="Z15" s="59"/>
      <c r="AA15" s="59"/>
      <c r="AB15" s="59" t="s">
        <v>122</v>
      </c>
      <c r="AD15" s="59"/>
    </row>
    <row r="16" spans="1:35" s="2" customFormat="1" ht="12.75" customHeight="1" thickBot="1" x14ac:dyDescent="0.35">
      <c r="A16" s="2" t="s">
        <v>123</v>
      </c>
      <c r="C16" s="378" t="s">
        <v>73</v>
      </c>
      <c r="E16" s="2" t="s">
        <v>124</v>
      </c>
      <c r="F16" s="466"/>
      <c r="G16" s="466"/>
      <c r="S16" s="260" t="s">
        <v>125</v>
      </c>
      <c r="T16" s="390"/>
      <c r="U16" s="261" t="s">
        <v>126</v>
      </c>
      <c r="W16" s="1"/>
      <c r="Z16" s="59"/>
      <c r="AA16" s="59"/>
      <c r="AB16" s="58" t="s">
        <v>127</v>
      </c>
      <c r="AC16" s="59"/>
      <c r="AD16" s="59"/>
    </row>
    <row r="17" spans="1:37" s="2" customFormat="1" ht="12.75" customHeight="1" thickBot="1" x14ac:dyDescent="0.35">
      <c r="A17" s="2" t="str">
        <f>IF(C16="Salaire mensuel","13ème salaire","")</f>
        <v/>
      </c>
      <c r="C17" s="329"/>
      <c r="D17" s="176" t="str">
        <f>IF(C17&gt;1,"",IF(A17="13ème salaire","à choisir",""))</f>
        <v/>
      </c>
      <c r="E17" s="422" t="s">
        <v>128</v>
      </c>
      <c r="F17" s="423" t="str">
        <f>IF($F$7="","",IF($C$10="masculin",DATE(YEAR($F$7)+65,MONTH($F$7)+1,1),IF($C$10="féminin",DATE(YEAR($F$7)+64,MONTH($F$7)+1+VLOOKUP(YEAR($F$7),Grundlagen!$F$1:$G$26,2,TRUE),1),"")))</f>
        <v/>
      </c>
      <c r="H17" s="175"/>
      <c r="W17" s="1"/>
      <c r="X17" s="59"/>
      <c r="Y17" s="59"/>
      <c r="Z17" s="59"/>
      <c r="AA17" s="59"/>
      <c r="AB17" s="59" t="s">
        <v>129</v>
      </c>
      <c r="AC17" s="59"/>
      <c r="AD17" s="59"/>
    </row>
    <row r="18" spans="1:37" s="2" customFormat="1" ht="12" customHeight="1" x14ac:dyDescent="0.3">
      <c r="H18" s="175"/>
      <c r="M18" s="175"/>
      <c r="S18" s="484" t="s">
        <v>130</v>
      </c>
      <c r="T18" s="485"/>
      <c r="U18" s="486"/>
      <c r="V18" s="340"/>
      <c r="X18" s="158"/>
      <c r="Y18" s="159"/>
      <c r="Z18" s="59"/>
      <c r="AA18" s="59"/>
      <c r="AB18" s="59" t="s">
        <v>131</v>
      </c>
      <c r="AC18" s="59"/>
      <c r="AD18" s="59"/>
      <c r="AE18" s="59"/>
    </row>
    <row r="19" spans="1:37" s="2" customFormat="1" ht="14" x14ac:dyDescent="0.3">
      <c r="A19" s="41" t="s">
        <v>132</v>
      </c>
      <c r="B19" s="41"/>
      <c r="C19" s="52"/>
      <c r="D19" s="52"/>
      <c r="E19" s="52"/>
      <c r="F19" s="52"/>
      <c r="G19" s="52"/>
      <c r="H19" s="52"/>
      <c r="I19" s="41" t="str">
        <f>$A$19</f>
        <v>Décompte de salaire</v>
      </c>
      <c r="J19" s="41"/>
      <c r="K19" s="52"/>
      <c r="L19" s="52"/>
      <c r="M19" s="52"/>
      <c r="N19" s="52"/>
      <c r="O19" s="52"/>
      <c r="P19" s="52"/>
      <c r="Q19" s="52"/>
      <c r="S19" s="262"/>
      <c r="U19" s="263"/>
      <c r="X19" s="158"/>
      <c r="Y19" s="159"/>
      <c r="Z19" s="59"/>
      <c r="AA19" s="59"/>
      <c r="AB19" s="59" t="s">
        <v>133</v>
      </c>
      <c r="AC19" s="59"/>
      <c r="AD19" s="59"/>
      <c r="AE19" s="59"/>
    </row>
    <row r="20" spans="1:37" s="2" customFormat="1" ht="5.15" customHeight="1" thickBot="1" x14ac:dyDescent="0.3">
      <c r="C20" s="80"/>
      <c r="D20" s="81"/>
      <c r="E20" s="5"/>
      <c r="F20" s="5"/>
      <c r="G20" s="5"/>
      <c r="H20" s="49"/>
      <c r="I20" s="49"/>
      <c r="K20" s="49"/>
      <c r="S20" s="481">
        <f>IF(F7="",0,IF(OR(G13="ordinaire",G13="à choisir"),0,(IF(G13="simplifiée",IF(OR($F$9="Conjoint-e",$F$9="Enfant",$F$9="Partenariat enrégistré"),"Ni la conjointe ou le conjoint de l’employeur ni ses enfants ne peuvent utiliser la procédure de décompte AVS simplifiée.",IF(OR(Q38+Q39&gt;Grundlagen!$B$8-0.01,U2&gt;Grundlagen!$B$8-0.01),"La procédure de décompte simplifiée ne peut pas être appliquée si le salaire annuel est supérieur à CHF"&amp;Grundlagen!$B$8&amp;"!",IF(AA6="oui","La procédure de décompte simplifiée ne peut pas être appliquée si la masse salariale totale est supérieure à CHF "&amp;Grundlagen!$B$9&amp;"!",IF(DATEDIF($F$7,$A$21,"Y")&lt;19,0,IF(G13="ordinaire",0,0)))))))))</f>
        <v>0</v>
      </c>
      <c r="T20" s="482"/>
      <c r="U20" s="483"/>
      <c r="V20" s="370"/>
      <c r="X20" s="158"/>
      <c r="Y20" s="159"/>
      <c r="Z20" s="59"/>
      <c r="AA20" s="59"/>
      <c r="AB20" s="59"/>
      <c r="AD20" s="59"/>
      <c r="AE20" s="59"/>
    </row>
    <row r="21" spans="1:37" s="2" customFormat="1" ht="15" customHeight="1" x14ac:dyDescent="0.25">
      <c r="A21" s="310">
        <f>Grundlagen!$C$1</f>
        <v>46387</v>
      </c>
      <c r="B21" s="269"/>
      <c r="C21" s="82">
        <f>Grundlagen!$B$1</f>
        <v>46023</v>
      </c>
      <c r="D21" s="82">
        <f>DATE(YEAR(C21),MONTH(C21)+1,1)</f>
        <v>46054</v>
      </c>
      <c r="E21" s="82">
        <f t="shared" ref="E21:H21" si="0">DATE(YEAR(D21),MONTH(D21)+1,1)</f>
        <v>46082</v>
      </c>
      <c r="F21" s="82">
        <f t="shared" si="0"/>
        <v>46113</v>
      </c>
      <c r="G21" s="82">
        <f t="shared" si="0"/>
        <v>46143</v>
      </c>
      <c r="H21" s="69">
        <f t="shared" si="0"/>
        <v>46174</v>
      </c>
      <c r="I21" s="310">
        <f t="shared" ref="I21:I22" si="1">A21</f>
        <v>46387</v>
      </c>
      <c r="J21" s="269"/>
      <c r="K21" s="82">
        <f>DATE(YEAR(H21),MONTH(H21)+1,1)</f>
        <v>46204</v>
      </c>
      <c r="L21" s="82">
        <f>DATE(YEAR(K21),MONTH(K21)+1,1)</f>
        <v>46235</v>
      </c>
      <c r="M21" s="82">
        <f t="shared" ref="M21:P21" si="2">DATE(YEAR(L21),MONTH(L21)+1,1)</f>
        <v>46266</v>
      </c>
      <c r="N21" s="82">
        <f t="shared" si="2"/>
        <v>46296</v>
      </c>
      <c r="O21" s="82">
        <f t="shared" si="2"/>
        <v>46327</v>
      </c>
      <c r="P21" s="69">
        <f t="shared" si="2"/>
        <v>46357</v>
      </c>
      <c r="Q21" s="97" t="s">
        <v>134</v>
      </c>
      <c r="S21" s="481"/>
      <c r="T21" s="482"/>
      <c r="U21" s="483"/>
      <c r="V21" s="370"/>
      <c r="W21" s="2">
        <f>IF(S20=0,0,5)</f>
        <v>0</v>
      </c>
      <c r="X21" s="158"/>
      <c r="Y21" s="159"/>
      <c r="Z21" s="59"/>
      <c r="AA21" s="59"/>
      <c r="AB21" s="59"/>
      <c r="AC21" s="59"/>
      <c r="AD21" s="59"/>
      <c r="AE21" s="59"/>
    </row>
    <row r="22" spans="1:37" s="2" customFormat="1" ht="15" customHeight="1" x14ac:dyDescent="0.25">
      <c r="A22" s="311" t="str">
        <f>IF($C$16="Salaire horaire","",IF(C16="à choisir","","Salaire mensuel"))</f>
        <v/>
      </c>
      <c r="B22" s="270" t="str">
        <f>IF(A22="Salaire mensuel","CHF"," ")</f>
        <v xml:space="preserve"> </v>
      </c>
      <c r="C22" s="286">
        <f t="shared" ref="C22:H22" si="3">IF(OR($C$16="Salaire horaire",$C$16="à choisir"),0,IF($C$16="Salaire mensuel",(IF(OR(MONTH(IF($C$14&lt;$C$21,$C$21,$C$14))&gt;MONTH(C21),MONTH(IF($C$15="",$A$21,$C$15))&lt;MONTH(C21)),0,$M$8))))</f>
        <v>0</v>
      </c>
      <c r="D22" s="286">
        <f t="shared" si="3"/>
        <v>0</v>
      </c>
      <c r="E22" s="286">
        <f t="shared" si="3"/>
        <v>0</v>
      </c>
      <c r="F22" s="286">
        <f t="shared" si="3"/>
        <v>0</v>
      </c>
      <c r="G22" s="286">
        <f t="shared" si="3"/>
        <v>0</v>
      </c>
      <c r="H22" s="287">
        <f t="shared" si="3"/>
        <v>0</v>
      </c>
      <c r="I22" s="312" t="str">
        <f t="shared" si="1"/>
        <v/>
      </c>
      <c r="J22" s="270" t="str">
        <f>IF(I22="Salaire mensuel","CHF"," ")</f>
        <v xml:space="preserve"> </v>
      </c>
      <c r="K22" s="286">
        <f t="shared" ref="K22:P22" si="4">IF(OR($C$16="Salaire horaire",$C$16="à choisir"),0,IF($C$16="Salaire mensuel",(IF(OR(MONTH(IF($C$14&lt;$C$21,$C$21,$C$14))&gt;MONTH(K21),MONTH(IF($C$15="",$A$21,$C$15))&lt;MONTH(K21)),0,$M$8))))</f>
        <v>0</v>
      </c>
      <c r="L22" s="286">
        <f t="shared" si="4"/>
        <v>0</v>
      </c>
      <c r="M22" s="286">
        <f t="shared" si="4"/>
        <v>0</v>
      </c>
      <c r="N22" s="286">
        <f t="shared" si="4"/>
        <v>0</v>
      </c>
      <c r="O22" s="286">
        <f t="shared" si="4"/>
        <v>0</v>
      </c>
      <c r="P22" s="287">
        <f t="shared" si="4"/>
        <v>0</v>
      </c>
      <c r="Q22" s="302">
        <f t="shared" ref="Q22" si="5">ROUND((SUM(C22:H22)+SUM(K22:P22))*20,0)/20</f>
        <v>0</v>
      </c>
      <c r="S22" s="481"/>
      <c r="T22" s="482"/>
      <c r="U22" s="483"/>
      <c r="V22" s="370"/>
      <c r="X22" s="158"/>
      <c r="Y22" s="159"/>
      <c r="Z22" s="59"/>
      <c r="AA22" s="59"/>
      <c r="AB22" s="59"/>
      <c r="AC22" s="59"/>
      <c r="AD22" s="59"/>
      <c r="AE22" s="59"/>
    </row>
    <row r="23" spans="1:37" s="2" customFormat="1" ht="15" customHeight="1" x14ac:dyDescent="0.25">
      <c r="A23" s="311" t="str">
        <f>IF($C$16="Salaire horaire","",(IF($C$17="oui","13. Salaire mensuel","")))</f>
        <v/>
      </c>
      <c r="B23" s="270" t="str">
        <f>IF(A23="13. Salaire mensuel","CHF"," ")</f>
        <v xml:space="preserve"> </v>
      </c>
      <c r="C23" s="286">
        <f t="shared" ref="C23:H23" si="6">IF(OR($C$16="Salaire horaire",$C$16="à choisir"),0,(IF($C$17="oui",(C$22+C32+C33)/12,"")))</f>
        <v>0</v>
      </c>
      <c r="D23" s="288">
        <f t="shared" si="6"/>
        <v>0</v>
      </c>
      <c r="E23" s="288">
        <f t="shared" si="6"/>
        <v>0</v>
      </c>
      <c r="F23" s="288">
        <f t="shared" si="6"/>
        <v>0</v>
      </c>
      <c r="G23" s="288">
        <f t="shared" si="6"/>
        <v>0</v>
      </c>
      <c r="H23" s="287">
        <f t="shared" si="6"/>
        <v>0</v>
      </c>
      <c r="I23" s="312" t="str">
        <f t="shared" ref="I23:I52" si="7">A23</f>
        <v/>
      </c>
      <c r="J23" s="270" t="str">
        <f>IF(I23="13. Salaire mensuel","CHF"," ")</f>
        <v xml:space="preserve"> </v>
      </c>
      <c r="K23" s="288">
        <f t="shared" ref="K23:P23" si="8">IF(OR($C$16="Salaire horaire",$C$16="à choisir"),0,(IF($C$17="oui",(K$22+K32+K33)/12,"")))</f>
        <v>0</v>
      </c>
      <c r="L23" s="288">
        <f t="shared" si="8"/>
        <v>0</v>
      </c>
      <c r="M23" s="288">
        <f t="shared" si="8"/>
        <v>0</v>
      </c>
      <c r="N23" s="303">
        <f t="shared" si="8"/>
        <v>0</v>
      </c>
      <c r="O23" s="288">
        <f t="shared" si="8"/>
        <v>0</v>
      </c>
      <c r="P23" s="287">
        <f t="shared" si="8"/>
        <v>0</v>
      </c>
      <c r="Q23" s="240">
        <f t="shared" ref="Q23:Q37" si="9">ROUND((SUM(C23:H23)+SUM(K23:P23))*20,0)/20</f>
        <v>0</v>
      </c>
      <c r="S23" s="262"/>
      <c r="U23" s="263"/>
      <c r="Y23" s="58"/>
      <c r="Z23" s="58"/>
      <c r="AA23" s="58"/>
      <c r="AB23" s="58"/>
      <c r="AC23" s="58"/>
      <c r="AD23" s="58"/>
      <c r="AE23" s="58"/>
      <c r="AF23" s="58"/>
    </row>
    <row r="24" spans="1:37" s="2" customFormat="1" ht="15" customHeight="1" x14ac:dyDescent="0.25">
      <c r="A24" s="444" t="str">
        <f>IF(G11="oui","Nombre d'heures 
de garde","")</f>
        <v/>
      </c>
      <c r="B24" s="447" t="str">
        <f>IF(A24="Nombre d'heures 
de garde","h"," ")</f>
        <v xml:space="preserve"> </v>
      </c>
      <c r="C24" s="288"/>
      <c r="D24" s="288"/>
      <c r="E24" s="288"/>
      <c r="F24" s="288"/>
      <c r="G24" s="288"/>
      <c r="H24" s="287"/>
      <c r="I24" s="311" t="str">
        <f t="shared" si="7"/>
        <v/>
      </c>
      <c r="J24" s="330" t="str">
        <f>B24</f>
        <v xml:space="preserve"> </v>
      </c>
      <c r="K24" s="288"/>
      <c r="L24" s="288"/>
      <c r="M24" s="288"/>
      <c r="N24" s="288"/>
      <c r="O24" s="288"/>
      <c r="P24" s="287"/>
      <c r="Q24" s="304">
        <f t="shared" si="9"/>
        <v>0</v>
      </c>
      <c r="S24" s="481">
        <f>IF(OR(AND(Z6="simplifiée",'PA 2'!Z6="simplifiée",'PA 3'!Z6="simplifiée",'PA 4'!Z6="simplifiée",'PA 5'!Z6="simplifiée",'PA 6'!Z6="simplifiée",'PA 7'!Z6="simplifiée",'PA 8'!Z6="simplifiée",'PA 9'!Z6="simplifiée"),(AND(Z7="ordinaire",'PA 2'!Z7="ordinaire",'PA 3'!Z7="ordinaire",'PA 4'!Z7="ordinaire",'PA 5'!Z7="ordinaire",'PA 6'!Z7="ordinaire",'PA 7'!Z7="ordinaire",'PA 8'!Z7="ordinaire",'PA 9'!Z7="ordinaire"))),0,"ATTENTION: la même procédure de décompte AVS doit être utilisée pour tous les prestataires d’assistance!")</f>
        <v>0</v>
      </c>
      <c r="T24" s="482"/>
      <c r="U24" s="483"/>
      <c r="V24" s="370"/>
      <c r="Y24" s="58"/>
      <c r="Z24" s="58"/>
      <c r="AA24" s="58"/>
      <c r="AB24" s="58"/>
      <c r="AC24" s="58"/>
      <c r="AD24" s="58"/>
      <c r="AE24" s="58"/>
      <c r="AF24" s="58"/>
    </row>
    <row r="25" spans="1:37" s="6" customFormat="1" ht="13" x14ac:dyDescent="0.3">
      <c r="A25" s="450" t="str">
        <f>IF(AND(C16="Salaire mensuel",G12="oui"),"Nombre d'engagements de nuit",IF(P10&gt;0.1,"Nombre d'engagements de nuit",""))</f>
        <v/>
      </c>
      <c r="B25" s="270" t="str">
        <f>IF(A25="Nombre d'engagements de nuit","Nb."," ")</f>
        <v xml:space="preserve"> </v>
      </c>
      <c r="C25" s="289"/>
      <c r="D25" s="289"/>
      <c r="E25" s="289"/>
      <c r="F25" s="289"/>
      <c r="G25" s="289"/>
      <c r="H25" s="290"/>
      <c r="I25" s="450" t="str">
        <f t="shared" si="7"/>
        <v/>
      </c>
      <c r="J25" s="270" t="str">
        <f>B25</f>
        <v xml:space="preserve"> </v>
      </c>
      <c r="K25" s="289"/>
      <c r="L25" s="289"/>
      <c r="M25" s="289"/>
      <c r="N25" s="289"/>
      <c r="O25" s="289"/>
      <c r="P25" s="305"/>
      <c r="Q25" s="302">
        <f t="shared" si="9"/>
        <v>0</v>
      </c>
      <c r="R25" s="76"/>
      <c r="S25" s="481"/>
      <c r="T25" s="482"/>
      <c r="U25" s="483"/>
      <c r="V25" s="370"/>
      <c r="W25" s="2">
        <f>IF(S24&gt;1,5,0)</f>
        <v>0</v>
      </c>
      <c r="X25" s="102"/>
      <c r="Y25" s="99"/>
      <c r="Z25" s="100"/>
      <c r="AA25" s="77"/>
      <c r="AB25" s="77"/>
      <c r="AC25" s="77"/>
      <c r="AD25" s="77"/>
      <c r="AE25" s="77"/>
      <c r="AF25" s="77"/>
    </row>
    <row r="26" spans="1:37" s="6" customFormat="1" ht="15" customHeight="1" x14ac:dyDescent="0.3">
      <c r="A26" s="312" t="str">
        <f>IF(AND($C$16="Salaire mensuel",$G$12="oui"),"Nombre d'heures",IF(C16="Salaire horaire",IF(G10="oui","Nombre d'heures I","Nombre d'heures"),""))</f>
        <v/>
      </c>
      <c r="B26" s="271" t="str">
        <f>IF(OR(A26="Nombre d'heures Standard",A26="Nombre d'heures",A26="Nombre d'heures I"),"h"," ")</f>
        <v xml:space="preserve"> </v>
      </c>
      <c r="C26" s="288"/>
      <c r="D26" s="288"/>
      <c r="E26" s="288"/>
      <c r="F26" s="288"/>
      <c r="G26" s="288"/>
      <c r="H26" s="287"/>
      <c r="I26" s="312" t="str">
        <f t="shared" si="7"/>
        <v/>
      </c>
      <c r="J26" s="271" t="str">
        <f>IF(OR(I26="Nombre d'heures Standard",I26="Nombre d'heures",I26="Nombre d'heures I"),"h"," ")</f>
        <v xml:space="preserve"> </v>
      </c>
      <c r="K26" s="288"/>
      <c r="L26" s="288"/>
      <c r="M26" s="288"/>
      <c r="N26" s="288"/>
      <c r="O26" s="288"/>
      <c r="P26" s="287"/>
      <c r="Q26" s="304">
        <f t="shared" si="9"/>
        <v>0</v>
      </c>
      <c r="R26" s="76"/>
      <c r="S26" s="481"/>
      <c r="T26" s="482"/>
      <c r="U26" s="483"/>
      <c r="V26" s="370"/>
      <c r="W26" s="76"/>
      <c r="X26" s="102"/>
      <c r="Y26" s="99"/>
      <c r="Z26" s="59"/>
      <c r="AA26" s="77"/>
      <c r="AB26" s="77"/>
      <c r="AC26" s="77"/>
      <c r="AD26" s="77"/>
      <c r="AE26" s="77"/>
      <c r="AF26" s="77"/>
    </row>
    <row r="27" spans="1:37" s="6" customFormat="1" ht="15" customHeight="1" x14ac:dyDescent="0.3">
      <c r="A27" s="312" t="str">
        <f>IF($C$16="Salaire horaire",IF(G10="oui","Salaire horaire I","Salaire horaire"),"")</f>
        <v/>
      </c>
      <c r="B27" s="270" t="str">
        <f>IF(OR(A27="Salaire horaire Standard",A27="Salaire horaire",A27="Salaire horaire I"),"CHF"," ")</f>
        <v xml:space="preserve"> </v>
      </c>
      <c r="C27" s="237" t="str">
        <f t="shared" ref="C27:H27" si="10">IF($C$16="Salaire horaire",(IF(OR((DATEDIF($F$7,C21,"Y")&lt;20),(DATEDIF($F$7,C21,"Y")&gt;49)),$M$8/110.64%*(C26+C24*$P$7+C25*$P$10),$M$8/108.33%*(C26+C24*$P$7+C25*$P$10))),"")</f>
        <v/>
      </c>
      <c r="D27" s="237" t="str">
        <f t="shared" si="10"/>
        <v/>
      </c>
      <c r="E27" s="237" t="str">
        <f t="shared" si="10"/>
        <v/>
      </c>
      <c r="F27" s="237" t="str">
        <f t="shared" si="10"/>
        <v/>
      </c>
      <c r="G27" s="237" t="str">
        <f t="shared" si="10"/>
        <v/>
      </c>
      <c r="H27" s="238" t="str">
        <f t="shared" si="10"/>
        <v/>
      </c>
      <c r="I27" s="312" t="str">
        <f t="shared" si="7"/>
        <v/>
      </c>
      <c r="J27" s="270" t="str">
        <f>IF(OR(I27="Salaire horaire Standard",I27="Salaire horaire",I27="Salaire horaire I"),"CHF"," ")</f>
        <v xml:space="preserve"> </v>
      </c>
      <c r="K27" s="237" t="str">
        <f t="shared" ref="K27:P27" si="11">IF($C$16="Salaire horaire",(IF(OR((DATEDIF($F$7,K21,"Y")&lt;20),(DATEDIF($F$7,K21,"Y")&gt;49)),$M$8/110.64%*(K26+K24*$P$7+K25*$P$10),$M$8/108.33%*(K26+K24*$P$7+K25*$P$10))),"")</f>
        <v/>
      </c>
      <c r="L27" s="237" t="str">
        <f t="shared" si="11"/>
        <v/>
      </c>
      <c r="M27" s="237" t="str">
        <f t="shared" si="11"/>
        <v/>
      </c>
      <c r="N27" s="237" t="str">
        <f t="shared" si="11"/>
        <v/>
      </c>
      <c r="O27" s="237" t="str">
        <f t="shared" si="11"/>
        <v/>
      </c>
      <c r="P27" s="238" t="str">
        <f t="shared" si="11"/>
        <v/>
      </c>
      <c r="Q27" s="304">
        <f t="shared" si="9"/>
        <v>0</v>
      </c>
      <c r="R27" s="76"/>
      <c r="S27" s="262"/>
      <c r="T27" s="2"/>
      <c r="U27" s="263"/>
      <c r="V27" s="2"/>
      <c r="W27" s="76"/>
      <c r="X27" s="102"/>
      <c r="Y27" s="99"/>
      <c r="Z27" s="59"/>
      <c r="AA27" s="77"/>
      <c r="AB27" s="77"/>
      <c r="AC27" s="77"/>
      <c r="AD27" s="77"/>
      <c r="AE27" s="77"/>
      <c r="AF27" s="77"/>
    </row>
    <row r="28" spans="1:37" s="2" customFormat="1" ht="15" customHeight="1" x14ac:dyDescent="0.25">
      <c r="A28" s="312" t="str">
        <f>IF(G10="oui","Nombre d'heures II","")</f>
        <v/>
      </c>
      <c r="B28" s="271" t="str">
        <f>IF(OR(A28="Nombre d'heures Quali B",A28="Nombre d'heures II"),"h"," ")</f>
        <v xml:space="preserve"> </v>
      </c>
      <c r="C28" s="288"/>
      <c r="D28" s="288"/>
      <c r="E28" s="288"/>
      <c r="F28" s="288"/>
      <c r="G28" s="288"/>
      <c r="H28" s="287"/>
      <c r="I28" s="312" t="str">
        <f t="shared" si="7"/>
        <v/>
      </c>
      <c r="J28" s="271" t="str">
        <f>IF(OR(I28="Nombre d'heures Quali B",I28="Nombre d'heures II"),"h"," ")</f>
        <v xml:space="preserve"> </v>
      </c>
      <c r="K28" s="288"/>
      <c r="L28" s="288"/>
      <c r="M28" s="288"/>
      <c r="N28" s="303"/>
      <c r="O28" s="288"/>
      <c r="P28" s="287"/>
      <c r="Q28" s="304">
        <f t="shared" si="9"/>
        <v>0</v>
      </c>
      <c r="R28" s="78"/>
      <c r="S28" s="481">
        <f>IF(AND(AC6="oui",(G12="oui")),"ATTENTION: le salaire des proches ne doit pas ètre réglé avec la contribution d'assistance d l'AI",0)</f>
        <v>0</v>
      </c>
      <c r="T28" s="482"/>
      <c r="U28" s="483"/>
      <c r="V28" s="370"/>
      <c r="W28" s="78"/>
      <c r="X28" s="101"/>
      <c r="Y28" s="98"/>
    </row>
    <row r="29" spans="1:37" s="6" customFormat="1" ht="15" customHeight="1" x14ac:dyDescent="0.25">
      <c r="A29" s="312" t="str">
        <f>IF(G10="oui","Salaire horaire II","")</f>
        <v/>
      </c>
      <c r="B29" s="270" t="str">
        <f>IF(OR(A29="Salaire horaire Quali B",A29="Salaire horaire II"),"CHF"," ")</f>
        <v xml:space="preserve"> </v>
      </c>
      <c r="C29" s="237" t="str">
        <f t="shared" ref="C29:H29" si="12">IF($C$16="Salaire horaire",(IF(OR((DATEDIF($F$7,C21,"Y")&lt;20),(DATEDIF($F$7,C21,"Y")&gt;49)),$M$13/110.64%*(C28),$M$13/108.33%*(C28))),"")</f>
        <v/>
      </c>
      <c r="D29" s="237" t="str">
        <f t="shared" si="12"/>
        <v/>
      </c>
      <c r="E29" s="237" t="str">
        <f t="shared" si="12"/>
        <v/>
      </c>
      <c r="F29" s="237" t="str">
        <f t="shared" si="12"/>
        <v/>
      </c>
      <c r="G29" s="237" t="str">
        <f t="shared" si="12"/>
        <v/>
      </c>
      <c r="H29" s="238" t="str">
        <f t="shared" si="12"/>
        <v/>
      </c>
      <c r="I29" s="312" t="str">
        <f t="shared" si="7"/>
        <v/>
      </c>
      <c r="J29" s="270" t="str">
        <f>IF(OR(I29="Salaire horaire Quali B",I29="Salaire horaire II"),"CHF"," ")</f>
        <v xml:space="preserve"> </v>
      </c>
      <c r="K29" s="237" t="str">
        <f t="shared" ref="K29:P29" si="13">IF($C$16="Salaire horaire",(IF(OR((DATEDIF($F$7,K21,"Y")&lt;20),(DATEDIF($F$7,K21,"Y")&gt;49)),$M$13/110.64%*(K28),$M$13/108.33%*(K28))),"")</f>
        <v/>
      </c>
      <c r="L29" s="237" t="str">
        <f t="shared" si="13"/>
        <v/>
      </c>
      <c r="M29" s="237" t="str">
        <f t="shared" si="13"/>
        <v/>
      </c>
      <c r="N29" s="237" t="str">
        <f t="shared" si="13"/>
        <v/>
      </c>
      <c r="O29" s="237" t="str">
        <f t="shared" si="13"/>
        <v/>
      </c>
      <c r="P29" s="238" t="str">
        <f t="shared" si="13"/>
        <v/>
      </c>
      <c r="Q29" s="304">
        <f t="shared" si="9"/>
        <v>0</v>
      </c>
      <c r="R29" s="65"/>
      <c r="S29" s="481"/>
      <c r="T29" s="482"/>
      <c r="U29" s="483"/>
      <c r="V29" s="370"/>
      <c r="W29" s="2">
        <f>IF(S28&gt;1,5,0)</f>
        <v>0</v>
      </c>
      <c r="X29" s="103"/>
      <c r="Y29" s="98"/>
      <c r="Z29" s="59"/>
      <c r="AA29" s="59"/>
      <c r="AB29" s="59"/>
      <c r="AC29" s="59"/>
      <c r="AD29" s="59"/>
      <c r="AE29" s="59"/>
      <c r="AF29" s="59"/>
    </row>
    <row r="30" spans="1:37" s="6" customFormat="1" ht="15" customHeight="1" x14ac:dyDescent="0.25">
      <c r="A30" s="312" t="str">
        <f>IF($C$16="Salaire horaire","Supplément de vacances","")</f>
        <v/>
      </c>
      <c r="B30" s="270" t="str">
        <f>IF(A30="Supplément de vacances","CHF"," ")</f>
        <v xml:space="preserve"> </v>
      </c>
      <c r="C30" s="237">
        <f t="shared" ref="C30:H30" si="14">IF($C$16="Salaire horaire",(ROUND(IF(OR((DATEDIF($F$7,C$21,"Y")&lt;20),(DATEDIF($F$7,C$21,"Y")&gt;49)),(C$27+C$29)*10.64%,(C$27+C$29)*8.33%),2)),)</f>
        <v>0</v>
      </c>
      <c r="D30" s="237">
        <f t="shared" si="14"/>
        <v>0</v>
      </c>
      <c r="E30" s="237">
        <f t="shared" si="14"/>
        <v>0</v>
      </c>
      <c r="F30" s="237">
        <f t="shared" si="14"/>
        <v>0</v>
      </c>
      <c r="G30" s="237">
        <f t="shared" si="14"/>
        <v>0</v>
      </c>
      <c r="H30" s="238">
        <f t="shared" si="14"/>
        <v>0</v>
      </c>
      <c r="I30" s="312" t="str">
        <f t="shared" si="7"/>
        <v/>
      </c>
      <c r="J30" s="270" t="str">
        <f>IF(I30="Ferienzuschlag","CHF"," ")</f>
        <v xml:space="preserve"> </v>
      </c>
      <c r="K30" s="237">
        <f t="shared" ref="K30:P30" si="15">IF($C$16="Salaire horaire",(ROUND(IF(OR((DATEDIF($F$7,K$21,"Y")&lt;20),(DATEDIF($F$7,K$21,"Y")&gt;49)),(K$27+K$29)*10.64%,(K$27+K$29)*8.33%),2)),)</f>
        <v>0</v>
      </c>
      <c r="L30" s="237">
        <f t="shared" si="15"/>
        <v>0</v>
      </c>
      <c r="M30" s="237">
        <f t="shared" si="15"/>
        <v>0</v>
      </c>
      <c r="N30" s="237">
        <f t="shared" si="15"/>
        <v>0</v>
      </c>
      <c r="O30" s="237">
        <f t="shared" si="15"/>
        <v>0</v>
      </c>
      <c r="P30" s="238">
        <f t="shared" si="15"/>
        <v>0</v>
      </c>
      <c r="Q30" s="304">
        <f t="shared" si="9"/>
        <v>0</v>
      </c>
      <c r="R30" s="65"/>
      <c r="S30" s="481"/>
      <c r="T30" s="482"/>
      <c r="U30" s="483"/>
      <c r="V30" s="370"/>
      <c r="W30" s="65"/>
      <c r="X30" s="103"/>
      <c r="Y30" s="98"/>
      <c r="Z30" s="59"/>
      <c r="AA30" s="59"/>
      <c r="AB30" s="59"/>
      <c r="AC30" s="59"/>
      <c r="AD30" s="59"/>
      <c r="AE30" s="59"/>
      <c r="AF30" s="59"/>
    </row>
    <row r="31" spans="1:37" s="6" customFormat="1" x14ac:dyDescent="0.25">
      <c r="A31" s="313" t="s">
        <v>135</v>
      </c>
      <c r="B31" s="271" t="s">
        <v>136</v>
      </c>
      <c r="C31" s="382"/>
      <c r="D31" s="384"/>
      <c r="E31" s="384"/>
      <c r="F31" s="384"/>
      <c r="G31" s="384"/>
      <c r="H31" s="383"/>
      <c r="I31" s="313" t="str">
        <f t="shared" si="7"/>
        <v>Repas &amp; logement</v>
      </c>
      <c r="J31" s="271" t="s">
        <v>136</v>
      </c>
      <c r="K31" s="382"/>
      <c r="L31" s="382"/>
      <c r="M31" s="382"/>
      <c r="N31" s="382"/>
      <c r="O31" s="382"/>
      <c r="P31" s="383"/>
      <c r="Q31" s="83">
        <f t="shared" si="9"/>
        <v>0</v>
      </c>
      <c r="R31" s="65"/>
      <c r="S31" s="470">
        <f>IF(AND(M7+M13&gt;8,T11=0),"Remarque: à partir de 8 heures de travail effectives par semaine, l’employé doit avoir souscrit une assurance-accidents non professionnels!",0)</f>
        <v>0</v>
      </c>
      <c r="T31" s="471"/>
      <c r="U31" s="472"/>
      <c r="V31" s="369"/>
      <c r="W31" s="2"/>
      <c r="X31" s="103"/>
      <c r="Y31" s="98"/>
      <c r="Z31" s="59"/>
      <c r="AA31" s="59"/>
      <c r="AB31" s="59"/>
      <c r="AC31" s="59"/>
      <c r="AD31" s="59"/>
      <c r="AE31" s="59"/>
      <c r="AF31" s="59"/>
    </row>
    <row r="32" spans="1:37" s="6" customFormat="1" ht="34.5" x14ac:dyDescent="0.25">
      <c r="A32" s="313" t="s">
        <v>137</v>
      </c>
      <c r="B32" s="272" t="s">
        <v>136</v>
      </c>
      <c r="C32" s="382"/>
      <c r="D32" s="384"/>
      <c r="E32" s="384"/>
      <c r="F32" s="384"/>
      <c r="G32" s="384"/>
      <c r="H32" s="385"/>
      <c r="I32" s="313" t="str">
        <f t="shared" si="7"/>
        <v>Oblig. de verser le salaire (art. 324a CO) (soumis à l'AVS)</v>
      </c>
      <c r="J32" s="272" t="s">
        <v>136</v>
      </c>
      <c r="K32" s="384"/>
      <c r="L32" s="384"/>
      <c r="M32" s="384"/>
      <c r="N32" s="386"/>
      <c r="O32" s="384"/>
      <c r="P32" s="385"/>
      <c r="Q32" s="70">
        <f t="shared" si="9"/>
        <v>0</v>
      </c>
      <c r="R32" s="65"/>
      <c r="S32" s="470"/>
      <c r="T32" s="471"/>
      <c r="U32" s="472"/>
      <c r="V32" s="369"/>
      <c r="W32" s="2">
        <f>IF(S31&gt;1,1,0)</f>
        <v>0</v>
      </c>
      <c r="X32" s="103"/>
      <c r="Y32" s="98"/>
      <c r="Z32" s="59"/>
      <c r="AA32" s="59"/>
      <c r="AB32" s="59"/>
      <c r="AC32" s="59"/>
      <c r="AD32" s="59"/>
      <c r="AE32" s="59"/>
      <c r="AF32" s="59"/>
      <c r="AK32" s="104"/>
    </row>
    <row r="33" spans="1:37" s="6" customFormat="1" ht="23" x14ac:dyDescent="0.25">
      <c r="A33" s="313" t="s">
        <v>138</v>
      </c>
      <c r="B33" s="272" t="s">
        <v>136</v>
      </c>
      <c r="C33" s="382"/>
      <c r="D33" s="384"/>
      <c r="E33" s="384"/>
      <c r="F33" s="384"/>
      <c r="G33" s="384"/>
      <c r="H33" s="385"/>
      <c r="I33" s="313" t="str">
        <f t="shared" si="7"/>
        <v>Oblig. de verser le salaire
(soumis à l'AVS)</v>
      </c>
      <c r="J33" s="272" t="s">
        <v>136</v>
      </c>
      <c r="K33" s="384"/>
      <c r="L33" s="384"/>
      <c r="M33" s="384"/>
      <c r="N33" s="386"/>
      <c r="O33" s="384"/>
      <c r="P33" s="385"/>
      <c r="Q33" s="70">
        <f t="shared" si="9"/>
        <v>0</v>
      </c>
      <c r="R33" s="65"/>
      <c r="S33" s="470">
        <f>IF(DATEDIF($F$7,C21,"Y")&lt;17,0,IF($C$67="oui",0,IF(AND(U2&gt;Grundlagen!$B$8-0.01,SUM(T15:T16)=0),"Remarque: si le salaire annuel brut AVS dépasse " &amp; Grundlagen!$B$8 &amp;" la personne doit être impérativement assurée auprès d’une institution de prévoyance professionnelle!",0)))</f>
        <v>0</v>
      </c>
      <c r="T33" s="471"/>
      <c r="U33" s="472"/>
      <c r="V33" s="369"/>
      <c r="W33" s="65"/>
      <c r="X33" s="103"/>
      <c r="Y33" s="98"/>
      <c r="Z33" s="59"/>
      <c r="AA33" s="59"/>
      <c r="AB33" s="59"/>
      <c r="AC33" s="59"/>
      <c r="AD33" s="59"/>
      <c r="AE33" s="59"/>
      <c r="AF33" s="59"/>
      <c r="AK33" s="104"/>
    </row>
    <row r="34" spans="1:37" s="6" customFormat="1" ht="23" x14ac:dyDescent="0.25">
      <c r="A34" s="314" t="s">
        <v>139</v>
      </c>
      <c r="B34" s="273" t="s">
        <v>136</v>
      </c>
      <c r="C34" s="382"/>
      <c r="D34" s="384"/>
      <c r="E34" s="384"/>
      <c r="F34" s="384"/>
      <c r="G34" s="384"/>
      <c r="H34" s="385"/>
      <c r="I34" s="314" t="str">
        <f t="shared" si="7"/>
        <v>Allocation maternité / militaire (soumis à l'AVS)</v>
      </c>
      <c r="J34" s="273" t="s">
        <v>136</v>
      </c>
      <c r="K34" s="384"/>
      <c r="L34" s="384"/>
      <c r="M34" s="384"/>
      <c r="N34" s="386"/>
      <c r="O34" s="384"/>
      <c r="P34" s="385"/>
      <c r="Q34" s="70">
        <f t="shared" si="9"/>
        <v>0</v>
      </c>
      <c r="R34" s="57"/>
      <c r="S34" s="470"/>
      <c r="T34" s="471"/>
      <c r="U34" s="472"/>
      <c r="V34" s="369"/>
      <c r="W34" s="2">
        <f>IF(S33&gt;1,1,0)</f>
        <v>0</v>
      </c>
      <c r="X34" s="101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</row>
    <row r="35" spans="1:37" s="2" customFormat="1" ht="23" x14ac:dyDescent="0.25">
      <c r="A35" s="314" t="s">
        <v>140</v>
      </c>
      <c r="B35" s="273" t="s">
        <v>136</v>
      </c>
      <c r="C35" s="382"/>
      <c r="D35" s="384"/>
      <c r="E35" s="384"/>
      <c r="F35" s="384"/>
      <c r="G35" s="384"/>
      <c r="H35" s="385"/>
      <c r="I35" s="314" t="str">
        <f t="shared" si="7"/>
        <v>Indemnité d'assurance
(non soumis AVS)</v>
      </c>
      <c r="J35" s="273" t="s">
        <v>136</v>
      </c>
      <c r="K35" s="384"/>
      <c r="L35" s="384"/>
      <c r="M35" s="384"/>
      <c r="N35" s="386"/>
      <c r="O35" s="384"/>
      <c r="P35" s="385"/>
      <c r="Q35" s="70">
        <f t="shared" si="9"/>
        <v>0</v>
      </c>
      <c r="R35" s="57"/>
      <c r="S35" s="470"/>
      <c r="T35" s="471"/>
      <c r="U35" s="472"/>
      <c r="V35" s="369"/>
      <c r="W35" s="57"/>
      <c r="X35" s="101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</row>
    <row r="36" spans="1:37" s="2" customFormat="1" ht="15" customHeight="1" x14ac:dyDescent="0.25">
      <c r="A36" s="312" t="s">
        <v>141</v>
      </c>
      <c r="B36" s="271" t="s">
        <v>136</v>
      </c>
      <c r="C36" s="382"/>
      <c r="D36" s="384"/>
      <c r="E36" s="384"/>
      <c r="F36" s="384"/>
      <c r="G36" s="384"/>
      <c r="H36" s="385"/>
      <c r="I36" s="312" t="str">
        <f t="shared" si="7"/>
        <v>Allocations familiales</v>
      </c>
      <c r="J36" s="271" t="s">
        <v>136</v>
      </c>
      <c r="K36" s="384"/>
      <c r="L36" s="384"/>
      <c r="M36" s="384"/>
      <c r="N36" s="386"/>
      <c r="O36" s="384"/>
      <c r="P36" s="385"/>
      <c r="Q36" s="70">
        <f t="shared" si="9"/>
        <v>0</v>
      </c>
      <c r="R36" s="57"/>
      <c r="S36" s="470">
        <f>IF(M8="",0,IF($C$16="Salaire horaire",(IF(AC6="non",IF(AND(AC6="non",AD7="oui"),0,"ATTENTION: le modèle bernois reconnaît un salaire horaire minimum de CHF 21.60 et maximum de CHF 56.50 pour les personnes autres que les proches."),IF(AND(AC6="oui",AD6="oui"),0,"ATTENTION: le modèle bernois reconnaît un salaire horaire minimum de CHF 21.60 pour les proches."))),(IF(AC6="non",IF(AND(AC6="non",AD7="oui"),(IF(AD8="oui","ATTENTION: pour les personnes autres que les proches, le modèle bernois reconnaît un salaire mensuel maximum de CHF 9'500 + 13e salaire ou de CHF 10'290 sans 13e salaire. Veuillez contrôler le taux d’occupation.",0)),"ATTENTION: pour les personnes autres que les proches, le modèle bernois reconnaît un salaire mensuel minimum de CHF 3'630 + 13e salaire ou de CHF 3'930 sans 13e salaire. Veuillez contrôler le taux d’occupation."),IF(AND(AC6="oui",AD6="oui"),0,"ATTENTION: pour les proches, le modèle bernois reconnaît un salaire mensuel de CHF 3'630 + 13e salaire ou de CHF 3'930 sans 13e salaire. Veuillez contrôler le taux d’occupation.")))))</f>
        <v>0</v>
      </c>
      <c r="T36" s="471"/>
      <c r="U36" s="472"/>
      <c r="V36" s="369"/>
      <c r="W36" s="57"/>
      <c r="X36" s="105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</row>
    <row r="37" spans="1:37" s="2" customFormat="1" ht="15" customHeight="1" x14ac:dyDescent="0.25">
      <c r="A37" s="315" t="s">
        <v>142</v>
      </c>
      <c r="B37" s="274" t="s">
        <v>136</v>
      </c>
      <c r="C37" s="291">
        <f t="shared" ref="C37:H37" si="16">MROUND(IF($C$16="Salaire horaire",SUM(C27,C29,C30,C31,C32,C33,C34,C35,C36),SUM(C22,C23,C30,C31,C32,C33,C34,C35,C36)),0.05)</f>
        <v>0</v>
      </c>
      <c r="D37" s="291">
        <f t="shared" si="16"/>
        <v>0</v>
      </c>
      <c r="E37" s="291">
        <f t="shared" si="16"/>
        <v>0</v>
      </c>
      <c r="F37" s="291">
        <f t="shared" si="16"/>
        <v>0</v>
      </c>
      <c r="G37" s="291">
        <f t="shared" si="16"/>
        <v>0</v>
      </c>
      <c r="H37" s="242">
        <f t="shared" si="16"/>
        <v>0</v>
      </c>
      <c r="I37" s="315" t="str">
        <f t="shared" si="7"/>
        <v>Salaire brut</v>
      </c>
      <c r="J37" s="274" t="s">
        <v>136</v>
      </c>
      <c r="K37" s="291">
        <f t="shared" ref="K37:P37" si="17">MROUND(IF($C$16="Salaire horaire",SUM(K27,K29,K30,K31,K32,K33,K34,K35,K36),SUM(K22,K23,K30,K31,K32,K33,K34,K35,K36)),0.05)</f>
        <v>0</v>
      </c>
      <c r="L37" s="291">
        <f t="shared" si="17"/>
        <v>0</v>
      </c>
      <c r="M37" s="291">
        <f t="shared" si="17"/>
        <v>0</v>
      </c>
      <c r="N37" s="291">
        <f t="shared" si="17"/>
        <v>0</v>
      </c>
      <c r="O37" s="291">
        <f t="shared" si="17"/>
        <v>0</v>
      </c>
      <c r="P37" s="242">
        <f t="shared" si="17"/>
        <v>0</v>
      </c>
      <c r="Q37" s="242">
        <f t="shared" si="9"/>
        <v>0</v>
      </c>
      <c r="R37" s="57"/>
      <c r="S37" s="470"/>
      <c r="T37" s="471"/>
      <c r="U37" s="472"/>
      <c r="V37" s="369"/>
      <c r="W37" s="2">
        <f>IF(S36&gt;1,5,0)</f>
        <v>0</v>
      </c>
      <c r="X37" s="101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</row>
    <row r="38" spans="1:37" s="2" customFormat="1" ht="15" customHeight="1" x14ac:dyDescent="0.25">
      <c r="A38" s="312" t="s">
        <v>143</v>
      </c>
      <c r="B38" s="275" t="s">
        <v>136</v>
      </c>
      <c r="C38" s="404">
        <f>C$80</f>
        <v>0</v>
      </c>
      <c r="D38" s="404">
        <f t="shared" ref="D38:H38" si="18">D$80</f>
        <v>0</v>
      </c>
      <c r="E38" s="404">
        <f t="shared" si="18"/>
        <v>0</v>
      </c>
      <c r="F38" s="404">
        <f t="shared" si="18"/>
        <v>0</v>
      </c>
      <c r="G38" s="404">
        <f t="shared" si="18"/>
        <v>0</v>
      </c>
      <c r="H38" s="405">
        <f t="shared" si="18"/>
        <v>0</v>
      </c>
      <c r="I38" s="312" t="str">
        <f t="shared" si="7"/>
        <v>Franchise rentier AVS</v>
      </c>
      <c r="J38" s="275" t="s">
        <v>136</v>
      </c>
      <c r="K38" s="404">
        <f>K$80</f>
        <v>0</v>
      </c>
      <c r="L38" s="404">
        <f t="shared" ref="L38:P38" si="19">L$80</f>
        <v>0</v>
      </c>
      <c r="M38" s="404">
        <f t="shared" si="19"/>
        <v>0</v>
      </c>
      <c r="N38" s="404">
        <f t="shared" si="19"/>
        <v>0</v>
      </c>
      <c r="O38" s="404">
        <f t="shared" si="19"/>
        <v>0</v>
      </c>
      <c r="P38" s="405">
        <f t="shared" si="19"/>
        <v>0</v>
      </c>
      <c r="Q38" s="307">
        <f>SUM(C38:H38)+SUM(K38:P38)</f>
        <v>0</v>
      </c>
      <c r="R38" s="57"/>
      <c r="S38" s="470"/>
      <c r="T38" s="471"/>
      <c r="U38" s="472"/>
      <c r="V38" s="369"/>
      <c r="W38" s="57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</row>
    <row r="39" spans="1:37" s="6" customFormat="1" ht="15" customHeight="1" x14ac:dyDescent="0.25">
      <c r="A39" s="315" t="s">
        <v>144</v>
      </c>
      <c r="B39" s="274" t="s">
        <v>136</v>
      </c>
      <c r="C39" s="291">
        <f>C37-C36-C35-C38</f>
        <v>0</v>
      </c>
      <c r="D39" s="291">
        <f t="shared" ref="D39:H39" si="20">D37-D36-D35-D38</f>
        <v>0</v>
      </c>
      <c r="E39" s="291">
        <f t="shared" si="20"/>
        <v>0</v>
      </c>
      <c r="F39" s="291">
        <f t="shared" si="20"/>
        <v>0</v>
      </c>
      <c r="G39" s="291">
        <f t="shared" si="20"/>
        <v>0</v>
      </c>
      <c r="H39" s="242">
        <f t="shared" si="20"/>
        <v>0</v>
      </c>
      <c r="I39" s="315" t="str">
        <f t="shared" si="7"/>
        <v>AVS montant brut</v>
      </c>
      <c r="J39" s="274" t="s">
        <v>136</v>
      </c>
      <c r="K39" s="291">
        <f t="shared" ref="K39:P39" si="21">K37-K36-K35-K38</f>
        <v>0</v>
      </c>
      <c r="L39" s="291">
        <f t="shared" si="21"/>
        <v>0</v>
      </c>
      <c r="M39" s="291">
        <f t="shared" si="21"/>
        <v>0</v>
      </c>
      <c r="N39" s="306">
        <f t="shared" si="21"/>
        <v>0</v>
      </c>
      <c r="O39" s="291">
        <f t="shared" si="21"/>
        <v>0</v>
      </c>
      <c r="P39" s="242">
        <f t="shared" si="21"/>
        <v>0</v>
      </c>
      <c r="Q39" s="242">
        <f>ROUND((SUM(C39:H39)+SUM(K39:P39))*20,0)/20</f>
        <v>0</v>
      </c>
      <c r="R39" s="79"/>
      <c r="S39" s="470"/>
      <c r="T39" s="471"/>
      <c r="U39" s="472"/>
      <c r="V39" s="369"/>
      <c r="W39" s="79"/>
      <c r="X39" s="2"/>
      <c r="Y39" s="106"/>
      <c r="Z39" s="106"/>
      <c r="AA39" s="106"/>
      <c r="AB39" s="106"/>
      <c r="AC39" s="106"/>
      <c r="AD39" s="106"/>
      <c r="AE39" s="64"/>
      <c r="AF39" s="64"/>
    </row>
    <row r="40" spans="1:37" s="2" customFormat="1" ht="15" customHeight="1" thickBot="1" x14ac:dyDescent="0.3">
      <c r="A40" s="312" t="str">
        <f>CONCATENATE("AVS/AI/APG ",T8*100,"%")</f>
        <v>AVS/AI/APG 0%</v>
      </c>
      <c r="B40" s="276" t="s">
        <v>136</v>
      </c>
      <c r="C40" s="234">
        <f>C$39*-$T$8</f>
        <v>0</v>
      </c>
      <c r="D40" s="234">
        <f t="shared" ref="D40:H40" si="22">D$39*-$T$8</f>
        <v>0</v>
      </c>
      <c r="E40" s="234">
        <f t="shared" si="22"/>
        <v>0</v>
      </c>
      <c r="F40" s="234">
        <f t="shared" si="22"/>
        <v>0</v>
      </c>
      <c r="G40" s="234">
        <f t="shared" si="22"/>
        <v>0</v>
      </c>
      <c r="H40" s="235">
        <f t="shared" si="22"/>
        <v>0</v>
      </c>
      <c r="I40" s="327" t="str">
        <f t="shared" si="7"/>
        <v>AVS/AI/APG 0%</v>
      </c>
      <c r="J40" s="276" t="s">
        <v>136</v>
      </c>
      <c r="K40" s="234">
        <f t="shared" ref="K40:P40" si="23">K$39*-$T$8</f>
        <v>0</v>
      </c>
      <c r="L40" s="234">
        <f t="shared" si="23"/>
        <v>0</v>
      </c>
      <c r="M40" s="234">
        <f t="shared" si="23"/>
        <v>0</v>
      </c>
      <c r="N40" s="236">
        <f t="shared" si="23"/>
        <v>0</v>
      </c>
      <c r="O40" s="234">
        <f t="shared" si="23"/>
        <v>0</v>
      </c>
      <c r="P40" s="235">
        <f t="shared" si="23"/>
        <v>0</v>
      </c>
      <c r="Q40" s="239">
        <f t="shared" ref="Q40:Q48" si="24">ROUND((SUM(C40:H40)+SUM(K40:P40))*20,0)/20</f>
        <v>0</v>
      </c>
      <c r="R40" s="65"/>
      <c r="S40" s="470"/>
      <c r="T40" s="471"/>
      <c r="U40" s="472"/>
      <c r="V40" s="369"/>
      <c r="W40" s="65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</row>
    <row r="41" spans="1:37" s="6" customFormat="1" ht="15" customHeight="1" x14ac:dyDescent="0.25">
      <c r="A41" s="312" t="str">
        <f>CONCATENATE("AC ",T9*100,"%")</f>
        <v>AC 0%</v>
      </c>
      <c r="B41" s="271" t="s">
        <v>136</v>
      </c>
      <c r="C41" s="237">
        <f>IF(C$38&lt;&gt;0,0,C$39*$T$9*-1)</f>
        <v>0</v>
      </c>
      <c r="D41" s="237">
        <f t="shared" ref="D41:H41" si="25">IF(D$38&lt;&gt;0,0,D$39*$T$9*-1)</f>
        <v>0</v>
      </c>
      <c r="E41" s="237">
        <f t="shared" si="25"/>
        <v>0</v>
      </c>
      <c r="F41" s="237">
        <f t="shared" si="25"/>
        <v>0</v>
      </c>
      <c r="G41" s="237">
        <f t="shared" si="25"/>
        <v>0</v>
      </c>
      <c r="H41" s="238">
        <f t="shared" si="25"/>
        <v>0</v>
      </c>
      <c r="I41" s="327" t="str">
        <f t="shared" si="7"/>
        <v>AC 0%</v>
      </c>
      <c r="J41" s="271" t="s">
        <v>136</v>
      </c>
      <c r="K41" s="237">
        <f>IF(K$38&lt;&gt;0,0,K$39*$T$9*-1)</f>
        <v>0</v>
      </c>
      <c r="L41" s="237">
        <f t="shared" ref="L41:P41" si="26">IF(L$38&lt;&gt;0,0,L$39*$T$9*-1)</f>
        <v>0</v>
      </c>
      <c r="M41" s="237">
        <f t="shared" si="26"/>
        <v>0</v>
      </c>
      <c r="N41" s="237">
        <f t="shared" si="26"/>
        <v>0</v>
      </c>
      <c r="O41" s="237">
        <f t="shared" si="26"/>
        <v>0</v>
      </c>
      <c r="P41" s="238">
        <f t="shared" si="26"/>
        <v>0</v>
      </c>
      <c r="Q41" s="240">
        <f t="shared" si="24"/>
        <v>0</v>
      </c>
      <c r="R41" s="79"/>
      <c r="S41" s="487"/>
      <c r="T41" s="487"/>
      <c r="U41" s="487"/>
      <c r="V41" s="65"/>
      <c r="X41" s="2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</row>
    <row r="42" spans="1:37" s="2" customFormat="1" ht="15" customHeight="1" x14ac:dyDescent="0.25">
      <c r="A42" s="312" t="str">
        <f>IF(T11&lt;0.01,"ANP",(CONCATENATE("ANP ",T11*100,"%")))</f>
        <v>ANP</v>
      </c>
      <c r="B42" s="271" t="s">
        <v>136</v>
      </c>
      <c r="C42" s="382">
        <f t="shared" ref="C42:H42" si="27">(C$37-C$34-C$35-C$36)*-$T$11</f>
        <v>0</v>
      </c>
      <c r="D42" s="382">
        <f t="shared" si="27"/>
        <v>0</v>
      </c>
      <c r="E42" s="382">
        <f t="shared" si="27"/>
        <v>0</v>
      </c>
      <c r="F42" s="382">
        <f t="shared" si="27"/>
        <v>0</v>
      </c>
      <c r="G42" s="382">
        <f t="shared" si="27"/>
        <v>0</v>
      </c>
      <c r="H42" s="383">
        <f t="shared" si="27"/>
        <v>0</v>
      </c>
      <c r="I42" s="327" t="str">
        <f t="shared" si="7"/>
        <v>ANP</v>
      </c>
      <c r="J42" s="271" t="s">
        <v>136</v>
      </c>
      <c r="K42" s="382">
        <f t="shared" ref="K42:P42" si="28">(K$37-K$34-K$35-K$36)*-$T$11</f>
        <v>0</v>
      </c>
      <c r="L42" s="382">
        <f t="shared" si="28"/>
        <v>0</v>
      </c>
      <c r="M42" s="382">
        <f t="shared" si="28"/>
        <v>0</v>
      </c>
      <c r="N42" s="386">
        <f t="shared" si="28"/>
        <v>0</v>
      </c>
      <c r="O42" s="382">
        <f t="shared" si="28"/>
        <v>0</v>
      </c>
      <c r="P42" s="383">
        <f t="shared" si="28"/>
        <v>0</v>
      </c>
      <c r="Q42" s="240">
        <f t="shared" si="24"/>
        <v>0</v>
      </c>
      <c r="R42" s="65"/>
      <c r="S42" s="488"/>
      <c r="T42" s="488"/>
      <c r="U42" s="488"/>
      <c r="V42" s="79"/>
      <c r="W42" s="2">
        <f>IF(S41&gt;1,1,0)</f>
        <v>0</v>
      </c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</row>
    <row r="43" spans="1:37" s="2" customFormat="1" ht="15" customHeight="1" x14ac:dyDescent="0.25">
      <c r="A43" s="312" t="str">
        <f>IF(T13&lt;0.0000001,"IJM",(CONCATENATE("IJM ",T13*100,"%")))</f>
        <v>IJM</v>
      </c>
      <c r="B43" s="271" t="s">
        <v>136</v>
      </c>
      <c r="C43" s="382">
        <f t="shared" ref="C43:H43" si="29">(C$37-C$34-C$35-C$36)*-$T$13</f>
        <v>0</v>
      </c>
      <c r="D43" s="382">
        <f t="shared" si="29"/>
        <v>0</v>
      </c>
      <c r="E43" s="382">
        <f t="shared" si="29"/>
        <v>0</v>
      </c>
      <c r="F43" s="382">
        <f t="shared" si="29"/>
        <v>0</v>
      </c>
      <c r="G43" s="382">
        <f t="shared" si="29"/>
        <v>0</v>
      </c>
      <c r="H43" s="383">
        <f t="shared" si="29"/>
        <v>0</v>
      </c>
      <c r="I43" s="327" t="str">
        <f t="shared" si="7"/>
        <v>IJM</v>
      </c>
      <c r="J43" s="271" t="s">
        <v>136</v>
      </c>
      <c r="K43" s="382">
        <f t="shared" ref="K43:P43" si="30">(K$37-K$34-K$35-K$36)*-$T$13</f>
        <v>0</v>
      </c>
      <c r="L43" s="382">
        <f t="shared" si="30"/>
        <v>0</v>
      </c>
      <c r="M43" s="382">
        <f t="shared" si="30"/>
        <v>0</v>
      </c>
      <c r="N43" s="386">
        <f t="shared" si="30"/>
        <v>0</v>
      </c>
      <c r="O43" s="382">
        <f t="shared" si="30"/>
        <v>0</v>
      </c>
      <c r="P43" s="383">
        <f t="shared" si="30"/>
        <v>0</v>
      </c>
      <c r="Q43" s="240">
        <f t="shared" si="24"/>
        <v>0</v>
      </c>
      <c r="R43" s="65"/>
      <c r="S43" s="488"/>
      <c r="T43" s="488"/>
      <c r="U43" s="488"/>
      <c r="V43" s="65"/>
      <c r="W43" s="65"/>
      <c r="X43" s="101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245"/>
    </row>
    <row r="44" spans="1:37" s="2" customFormat="1" ht="15" customHeight="1" x14ac:dyDescent="0.25">
      <c r="A44" s="312" t="str">
        <f>IF(T16&gt;0.01%,(CONCATENATE("LPP ",T16*100,"%")),IF(T15&lt;0.01,"LPP",(CONCATENATE("LPP ","CHF ",T15))))</f>
        <v>LPP</v>
      </c>
      <c r="B44" s="271" t="s">
        <v>136</v>
      </c>
      <c r="C44" s="382">
        <f t="shared" ref="C44:H44" si="31">IF(OR(C$39=0,C$67="oui",DATEDIF($F$7,$A$21,"Y")&lt;18),0,IF($T$16&gt;0.1%,-$T$16*C$39,-$T$15))</f>
        <v>0</v>
      </c>
      <c r="D44" s="382">
        <f t="shared" si="31"/>
        <v>0</v>
      </c>
      <c r="E44" s="382">
        <f t="shared" si="31"/>
        <v>0</v>
      </c>
      <c r="F44" s="382">
        <f t="shared" si="31"/>
        <v>0</v>
      </c>
      <c r="G44" s="382">
        <f t="shared" si="31"/>
        <v>0</v>
      </c>
      <c r="H44" s="383">
        <f t="shared" si="31"/>
        <v>0</v>
      </c>
      <c r="I44" s="327" t="str">
        <f t="shared" si="7"/>
        <v>LPP</v>
      </c>
      <c r="J44" s="271" t="s">
        <v>136</v>
      </c>
      <c r="K44" s="382">
        <f t="shared" ref="K44:P44" si="32">IF(OR(K$39=0,K$67="oui",DATEDIF($F$7,$A$21,"Y")&lt;18),0,IF($T$16&gt;0.1%,-$T$16*K$39,-$T$15))</f>
        <v>0</v>
      </c>
      <c r="L44" s="382">
        <f t="shared" si="32"/>
        <v>0</v>
      </c>
      <c r="M44" s="382">
        <f t="shared" si="32"/>
        <v>0</v>
      </c>
      <c r="N44" s="382">
        <f t="shared" si="32"/>
        <v>0</v>
      </c>
      <c r="O44" s="382">
        <f t="shared" si="32"/>
        <v>0</v>
      </c>
      <c r="P44" s="383">
        <f t="shared" si="32"/>
        <v>0</v>
      </c>
      <c r="Q44" s="240">
        <f t="shared" si="24"/>
        <v>0</v>
      </c>
      <c r="R44" s="65"/>
      <c r="S44" s="65"/>
      <c r="T44" s="65"/>
      <c r="U44" s="65"/>
      <c r="V44" s="65"/>
      <c r="W44" s="101"/>
      <c r="X44" s="59"/>
      <c r="Y44" s="59"/>
      <c r="Z44" s="59"/>
      <c r="AA44" s="59"/>
      <c r="AB44" s="59"/>
      <c r="AC44" s="59"/>
      <c r="AD44" s="59"/>
      <c r="AE44" s="59"/>
    </row>
    <row r="45" spans="1:37" s="2" customFormat="1" ht="15" customHeight="1" x14ac:dyDescent="0.25">
      <c r="A45" s="312" t="str">
        <f>IF(G13="à choisir","",IF(OR(Y9&lt;5%,G13="ordinaire",)," ",(CONCATENATE("Impôt selon LTN ",Y9*100,"%"))))</f>
        <v/>
      </c>
      <c r="B45" s="270" t="str">
        <f>IF(A45="Impôt selon LTN 5%","CHF"," ")</f>
        <v xml:space="preserve"> </v>
      </c>
      <c r="C45" s="382">
        <f t="shared" ref="C45:H45" si="33">IF(C39+C38=0,0,IF(C$67="no",C39*-$Y$9,IF(AND(C38&gt;1),(C39+C38)*-$Y$9,C39*-$Y$9)))</f>
        <v>0</v>
      </c>
      <c r="D45" s="382">
        <f t="shared" si="33"/>
        <v>0</v>
      </c>
      <c r="E45" s="382">
        <f t="shared" si="33"/>
        <v>0</v>
      </c>
      <c r="F45" s="382">
        <f t="shared" si="33"/>
        <v>0</v>
      </c>
      <c r="G45" s="382">
        <f t="shared" si="33"/>
        <v>0</v>
      </c>
      <c r="H45" s="383">
        <f t="shared" si="33"/>
        <v>0</v>
      </c>
      <c r="I45" s="312" t="str">
        <f t="shared" si="7"/>
        <v/>
      </c>
      <c r="J45" s="270" t="str">
        <f>IF(I45="QST gem. BGSA 5%","CHF"," ")</f>
        <v xml:space="preserve"> </v>
      </c>
      <c r="K45" s="382">
        <f t="shared" ref="K45:P45" si="34">IF(K39+K38=0,0,IF(K$67="no",K39*-$Y$9,IF(AND(K38&gt;1),(K39+K38)*-$Y$9,K39*-$Y$9)))</f>
        <v>0</v>
      </c>
      <c r="L45" s="382">
        <f t="shared" si="34"/>
        <v>0</v>
      </c>
      <c r="M45" s="382">
        <f t="shared" si="34"/>
        <v>0</v>
      </c>
      <c r="N45" s="382">
        <f t="shared" si="34"/>
        <v>0</v>
      </c>
      <c r="O45" s="382">
        <f t="shared" si="34"/>
        <v>0</v>
      </c>
      <c r="P45" s="383">
        <f t="shared" si="34"/>
        <v>0</v>
      </c>
      <c r="Q45" s="304">
        <f>ROUND((SUM(C45:H45)+SUM(K45:P45))*20,0)/20</f>
        <v>0</v>
      </c>
      <c r="R45" s="65"/>
      <c r="S45" s="65"/>
      <c r="T45" s="65"/>
      <c r="U45" s="65"/>
      <c r="V45" s="65"/>
      <c r="W45" s="79">
        <f>SUM(W21:W43)</f>
        <v>0</v>
      </c>
      <c r="X45" s="58"/>
      <c r="Y45" s="59"/>
      <c r="Z45" s="59"/>
      <c r="AA45" s="59"/>
      <c r="AB45" s="59"/>
      <c r="AC45" s="59"/>
      <c r="AD45" s="59"/>
      <c r="AE45" s="59"/>
    </row>
    <row r="46" spans="1:37" s="2" customFormat="1" ht="15" customHeight="1" x14ac:dyDescent="0.25">
      <c r="A46" s="312" t="str">
        <f>IF(G13="ordinaire","Impôt à la source","")</f>
        <v/>
      </c>
      <c r="B46" s="270" t="str">
        <f>IF(A46="Impôt à la source","CHF"," ")</f>
        <v xml:space="preserve"> </v>
      </c>
      <c r="C46" s="382"/>
      <c r="D46" s="382"/>
      <c r="E46" s="382"/>
      <c r="F46" s="382"/>
      <c r="G46" s="382"/>
      <c r="H46" s="385"/>
      <c r="I46" s="327" t="str">
        <f t="shared" si="7"/>
        <v/>
      </c>
      <c r="J46" s="270" t="str">
        <f>IF(I46="QST","CHF"," ")</f>
        <v xml:space="preserve"> </v>
      </c>
      <c r="K46" s="384"/>
      <c r="L46" s="384"/>
      <c r="M46" s="384"/>
      <c r="N46" s="386"/>
      <c r="O46" s="384"/>
      <c r="P46" s="385"/>
      <c r="Q46" s="70">
        <f t="shared" si="24"/>
        <v>0</v>
      </c>
      <c r="R46" s="65"/>
      <c r="S46" s="65"/>
      <c r="T46" s="65"/>
      <c r="U46" s="65"/>
      <c r="V46" s="65"/>
      <c r="W46" s="101"/>
      <c r="X46" s="59"/>
      <c r="Y46" s="59"/>
      <c r="Z46" s="59"/>
      <c r="AA46" s="59"/>
      <c r="AB46" s="59"/>
      <c r="AC46" s="59"/>
      <c r="AD46" s="59"/>
      <c r="AE46" s="59"/>
    </row>
    <row r="47" spans="1:37" s="2" customFormat="1" ht="15" customHeight="1" x14ac:dyDescent="0.25">
      <c r="A47" s="312" t="s">
        <v>145</v>
      </c>
      <c r="B47" s="271" t="s">
        <v>136</v>
      </c>
      <c r="C47" s="382"/>
      <c r="D47" s="384"/>
      <c r="E47" s="384"/>
      <c r="F47" s="384"/>
      <c r="G47" s="384"/>
      <c r="H47" s="385"/>
      <c r="I47" s="327" t="str">
        <f t="shared" si="7"/>
        <v>Frais effectifs</v>
      </c>
      <c r="J47" s="271" t="s">
        <v>136</v>
      </c>
      <c r="K47" s="384"/>
      <c r="L47" s="384"/>
      <c r="M47" s="384"/>
      <c r="N47" s="386"/>
      <c r="O47" s="384"/>
      <c r="P47" s="385"/>
      <c r="Q47" s="70">
        <f t="shared" si="24"/>
        <v>0</v>
      </c>
      <c r="R47" s="172"/>
      <c r="S47" s="65"/>
      <c r="T47" s="65"/>
      <c r="U47" s="65"/>
      <c r="V47" s="172"/>
      <c r="W47" s="101"/>
      <c r="X47" s="58"/>
      <c r="Y47" s="59"/>
      <c r="Z47" s="59"/>
      <c r="AA47" s="59"/>
      <c r="AB47" s="59"/>
      <c r="AC47" s="59"/>
      <c r="AD47" s="59"/>
      <c r="AE47" s="59"/>
    </row>
    <row r="48" spans="1:37" s="2" customFormat="1" ht="15" customHeight="1" x14ac:dyDescent="0.25">
      <c r="A48" s="316" t="s">
        <v>135</v>
      </c>
      <c r="B48" s="275" t="s">
        <v>136</v>
      </c>
      <c r="C48" s="382">
        <f>-C31</f>
        <v>0</v>
      </c>
      <c r="D48" s="384">
        <f t="shared" ref="D48:H48" si="35">-D31</f>
        <v>0</v>
      </c>
      <c r="E48" s="384">
        <f t="shared" si="35"/>
        <v>0</v>
      </c>
      <c r="F48" s="384">
        <f t="shared" si="35"/>
        <v>0</v>
      </c>
      <c r="G48" s="384">
        <f t="shared" si="35"/>
        <v>0</v>
      </c>
      <c r="H48" s="385">
        <f t="shared" si="35"/>
        <v>0</v>
      </c>
      <c r="I48" s="328" t="str">
        <f t="shared" si="7"/>
        <v>Repas &amp; logement</v>
      </c>
      <c r="J48" s="275" t="s">
        <v>136</v>
      </c>
      <c r="K48" s="384">
        <f t="shared" ref="K48:P48" si="36">-K31</f>
        <v>0</v>
      </c>
      <c r="L48" s="384">
        <f t="shared" si="36"/>
        <v>0</v>
      </c>
      <c r="M48" s="384">
        <f t="shared" si="36"/>
        <v>0</v>
      </c>
      <c r="N48" s="386">
        <f t="shared" si="36"/>
        <v>0</v>
      </c>
      <c r="O48" s="384">
        <f t="shared" si="36"/>
        <v>0</v>
      </c>
      <c r="P48" s="385">
        <f t="shared" si="36"/>
        <v>0</v>
      </c>
      <c r="Q48" s="241">
        <f t="shared" si="24"/>
        <v>0</v>
      </c>
      <c r="R48" s="57"/>
      <c r="S48" s="172"/>
      <c r="T48" s="172"/>
      <c r="U48" s="172"/>
      <c r="V48" s="57"/>
      <c r="W48" s="101"/>
      <c r="X48" s="58"/>
      <c r="Y48" s="59"/>
      <c r="Z48" s="59"/>
      <c r="AA48" s="59"/>
      <c r="AB48" s="59"/>
      <c r="AC48" s="59"/>
      <c r="AD48" s="59"/>
      <c r="AE48" s="59"/>
    </row>
    <row r="49" spans="1:31" s="2" customFormat="1" ht="15" customHeight="1" x14ac:dyDescent="0.25">
      <c r="A49" s="335" t="s">
        <v>146</v>
      </c>
      <c r="B49" s="336" t="s">
        <v>136</v>
      </c>
      <c r="C49" s="331">
        <f>MROUND(C37+(SUM(C40:C46)+C47+C48),0.05)</f>
        <v>0</v>
      </c>
      <c r="D49" s="331">
        <f t="shared" ref="D49:H49" si="37">MROUND(D37+(SUM(D40:D46)+D47+D48),0.05)</f>
        <v>0</v>
      </c>
      <c r="E49" s="331">
        <f t="shared" si="37"/>
        <v>0</v>
      </c>
      <c r="F49" s="331">
        <f t="shared" si="37"/>
        <v>0</v>
      </c>
      <c r="G49" s="331">
        <f t="shared" si="37"/>
        <v>0</v>
      </c>
      <c r="H49" s="333">
        <f t="shared" si="37"/>
        <v>0</v>
      </c>
      <c r="I49" s="335" t="str">
        <f t="shared" si="7"/>
        <v>Salaire net</v>
      </c>
      <c r="J49" s="336" t="s">
        <v>136</v>
      </c>
      <c r="K49" s="331">
        <f t="shared" ref="K49:P49" si="38">MROUND(K37+(SUM(K40:K46)+K47+K48),0.05)</f>
        <v>0</v>
      </c>
      <c r="L49" s="331">
        <f t="shared" si="38"/>
        <v>0</v>
      </c>
      <c r="M49" s="331">
        <f t="shared" si="38"/>
        <v>0</v>
      </c>
      <c r="N49" s="331">
        <f t="shared" si="38"/>
        <v>0</v>
      </c>
      <c r="O49" s="331">
        <f t="shared" si="38"/>
        <v>0</v>
      </c>
      <c r="P49" s="333">
        <f t="shared" si="38"/>
        <v>0</v>
      </c>
      <c r="Q49" s="242">
        <f>SUM(C49:H49)+SUM(K49:P49)</f>
        <v>0</v>
      </c>
      <c r="R49" s="57"/>
      <c r="S49" s="57"/>
      <c r="T49" s="57"/>
      <c r="U49" s="57"/>
      <c r="V49" s="57"/>
      <c r="W49" s="101"/>
      <c r="X49" s="58"/>
      <c r="Y49" s="59"/>
      <c r="Z49" s="59"/>
      <c r="AA49" s="59"/>
      <c r="AB49" s="59"/>
      <c r="AC49" s="59"/>
      <c r="AD49" s="59"/>
      <c r="AE49" s="59"/>
    </row>
    <row r="50" spans="1:31" s="2" customFormat="1" ht="15" customHeight="1" x14ac:dyDescent="0.25">
      <c r="A50" s="337" t="s">
        <v>147</v>
      </c>
      <c r="B50" s="330" t="s">
        <v>136</v>
      </c>
      <c r="C50" s="382"/>
      <c r="D50" s="382"/>
      <c r="E50" s="382"/>
      <c r="F50" s="382"/>
      <c r="G50" s="382"/>
      <c r="H50" s="383"/>
      <c r="I50" s="337" t="str">
        <f t="shared" si="7"/>
        <v>Salaire net payé</v>
      </c>
      <c r="J50" s="330" t="s">
        <v>136</v>
      </c>
      <c r="K50" s="382"/>
      <c r="L50" s="382"/>
      <c r="M50" s="382"/>
      <c r="N50" s="382"/>
      <c r="O50" s="382"/>
      <c r="P50" s="383"/>
      <c r="Q50" s="309">
        <f>SUM(C50:H50)+SUM(K50:P50)</f>
        <v>0</v>
      </c>
      <c r="R50" s="57"/>
      <c r="S50" s="57"/>
      <c r="T50" s="57"/>
      <c r="U50" s="57"/>
      <c r="V50" s="57"/>
      <c r="W50" s="101"/>
      <c r="X50" s="58"/>
      <c r="Y50" s="59"/>
      <c r="Z50" s="59"/>
      <c r="AA50" s="59"/>
      <c r="AB50" s="59"/>
      <c r="AC50" s="59"/>
      <c r="AD50" s="59"/>
      <c r="AE50" s="59"/>
    </row>
    <row r="51" spans="1:31" s="2" customFormat="1" ht="15" customHeight="1" x14ac:dyDescent="0.25">
      <c r="A51" s="338" t="s">
        <v>148</v>
      </c>
      <c r="B51" s="339" t="s">
        <v>136</v>
      </c>
      <c r="C51" s="332">
        <f>IF(C50=0,0,C50-C49)</f>
        <v>0</v>
      </c>
      <c r="D51" s="332">
        <f t="shared" ref="D51:H51" si="39">IF(D50=0,0,D50-D49)</f>
        <v>0</v>
      </c>
      <c r="E51" s="332">
        <f t="shared" si="39"/>
        <v>0</v>
      </c>
      <c r="F51" s="332">
        <f t="shared" si="39"/>
        <v>0</v>
      </c>
      <c r="G51" s="332">
        <f t="shared" si="39"/>
        <v>0</v>
      </c>
      <c r="H51" s="334">
        <f t="shared" si="39"/>
        <v>0</v>
      </c>
      <c r="I51" s="338" t="str">
        <f t="shared" si="7"/>
        <v>Différence</v>
      </c>
      <c r="J51" s="339" t="s">
        <v>136</v>
      </c>
      <c r="K51" s="332">
        <f t="shared" ref="K51:P51" si="40">IF(K50=0,0,K50-K49)</f>
        <v>0</v>
      </c>
      <c r="L51" s="332">
        <f t="shared" si="40"/>
        <v>0</v>
      </c>
      <c r="M51" s="332">
        <f t="shared" si="40"/>
        <v>0</v>
      </c>
      <c r="N51" s="332">
        <f t="shared" si="40"/>
        <v>0</v>
      </c>
      <c r="O51" s="332">
        <f t="shared" si="40"/>
        <v>0</v>
      </c>
      <c r="P51" s="334">
        <f t="shared" si="40"/>
        <v>0</v>
      </c>
      <c r="Q51" s="309">
        <f>SUM(C51:H51)+SUM(K51:P51)</f>
        <v>0</v>
      </c>
      <c r="R51" s="57"/>
      <c r="S51" s="57"/>
      <c r="T51" s="57"/>
      <c r="U51" s="57"/>
      <c r="V51" s="57"/>
      <c r="W51" s="101"/>
      <c r="X51" s="58"/>
      <c r="Y51" s="59"/>
      <c r="Z51" s="59"/>
      <c r="AA51" s="59"/>
      <c r="AB51" s="59"/>
      <c r="AC51" s="59"/>
      <c r="AD51" s="59"/>
      <c r="AE51" s="59"/>
    </row>
    <row r="52" spans="1:31" s="2" customFormat="1" ht="15" customHeight="1" x14ac:dyDescent="0.25">
      <c r="A52" s="71" t="s">
        <v>149</v>
      </c>
      <c r="B52" s="326"/>
      <c r="C52" s="458"/>
      <c r="D52" s="458"/>
      <c r="E52" s="458"/>
      <c r="F52" s="458"/>
      <c r="G52" s="458"/>
      <c r="H52" s="462"/>
      <c r="I52" s="71" t="str">
        <f t="shared" si="7"/>
        <v>Remarques</v>
      </c>
      <c r="J52" s="326"/>
      <c r="K52" s="458"/>
      <c r="L52" s="458"/>
      <c r="M52" s="458"/>
      <c r="N52" s="458"/>
      <c r="O52" s="464"/>
      <c r="P52" s="462"/>
      <c r="Q52" s="72">
        <f t="shared" ref="Q52" si="41">SUM(C52:H52)+SUM(K52:P52)</f>
        <v>0</v>
      </c>
      <c r="R52" s="65"/>
      <c r="S52" s="57"/>
      <c r="T52" s="57"/>
      <c r="U52" s="57"/>
      <c r="V52" s="65"/>
      <c r="W52" s="101"/>
      <c r="X52" s="59"/>
      <c r="Y52" s="59"/>
      <c r="Z52" s="59"/>
      <c r="AA52" s="59"/>
      <c r="AB52" s="59"/>
      <c r="AC52" s="59"/>
      <c r="AD52" s="59"/>
      <c r="AE52" s="59"/>
    </row>
    <row r="53" spans="1:31" s="6" customFormat="1" ht="15" customHeight="1" thickBot="1" x14ac:dyDescent="0.3">
      <c r="A53" s="317"/>
      <c r="B53" s="277"/>
      <c r="C53" s="459"/>
      <c r="D53" s="459"/>
      <c r="E53" s="459"/>
      <c r="F53" s="459"/>
      <c r="G53" s="459"/>
      <c r="H53" s="463"/>
      <c r="I53" s="317"/>
      <c r="J53" s="277"/>
      <c r="K53" s="459"/>
      <c r="L53" s="459"/>
      <c r="M53" s="459"/>
      <c r="N53" s="459"/>
      <c r="O53" s="465"/>
      <c r="P53" s="463"/>
      <c r="Q53" s="73"/>
      <c r="R53" s="79"/>
      <c r="S53" s="65"/>
      <c r="T53" s="65"/>
      <c r="U53" s="65"/>
      <c r="V53" s="79"/>
      <c r="W53" s="101"/>
      <c r="X53" s="59"/>
      <c r="Y53" s="59"/>
      <c r="Z53" s="59"/>
      <c r="AA53" s="59"/>
      <c r="AB53" s="59"/>
      <c r="AC53" s="59"/>
      <c r="AD53" s="64"/>
      <c r="AE53" s="64"/>
    </row>
    <row r="54" spans="1:31" s="2" customFormat="1" ht="5.15" customHeight="1" thickBot="1" x14ac:dyDescent="0.35">
      <c r="A54" s="53"/>
      <c r="B54" s="53"/>
      <c r="C54" s="74"/>
      <c r="D54" s="54"/>
      <c r="E54" s="55"/>
      <c r="F54" s="54"/>
      <c r="G54" s="54"/>
      <c r="H54" s="56"/>
      <c r="I54" s="53"/>
      <c r="J54" s="53"/>
      <c r="K54" s="56"/>
      <c r="L54" s="56"/>
      <c r="M54" s="56"/>
      <c r="N54" s="74"/>
      <c r="O54" s="54"/>
      <c r="P54" s="54"/>
      <c r="Q54" s="54">
        <f>SUM(C54:H54)+SUM(K54:P54)</f>
        <v>0</v>
      </c>
      <c r="R54" s="57"/>
      <c r="S54" s="79"/>
      <c r="T54" s="79"/>
      <c r="U54" s="79"/>
      <c r="V54" s="57"/>
      <c r="W54" s="102"/>
      <c r="X54" s="63"/>
      <c r="Y54" s="64"/>
      <c r="Z54" s="64"/>
      <c r="AA54" s="64"/>
      <c r="AB54" s="64"/>
      <c r="AC54" s="64"/>
      <c r="AD54" s="59"/>
      <c r="AE54" s="59"/>
    </row>
    <row r="55" spans="1:31" s="2" customFormat="1" ht="15" customHeight="1" x14ac:dyDescent="0.25">
      <c r="A55" s="318" t="s">
        <v>150</v>
      </c>
      <c r="B55" s="278"/>
      <c r="C55" s="85">
        <f t="shared" ref="C55:H55" si="42">C21</f>
        <v>46023</v>
      </c>
      <c r="D55" s="86">
        <f t="shared" si="42"/>
        <v>46054</v>
      </c>
      <c r="E55" s="86">
        <f t="shared" si="42"/>
        <v>46082</v>
      </c>
      <c r="F55" s="86">
        <f t="shared" si="42"/>
        <v>46113</v>
      </c>
      <c r="G55" s="86">
        <f t="shared" si="42"/>
        <v>46143</v>
      </c>
      <c r="H55" s="87">
        <f t="shared" si="42"/>
        <v>46174</v>
      </c>
      <c r="I55" s="318" t="str">
        <f>A55</f>
        <v>Données pour AssistMe:</v>
      </c>
      <c r="J55" s="278"/>
      <c r="K55" s="86">
        <f t="shared" ref="K55:P55" si="43">K21</f>
        <v>46204</v>
      </c>
      <c r="L55" s="86">
        <f t="shared" si="43"/>
        <v>46235</v>
      </c>
      <c r="M55" s="86">
        <f t="shared" si="43"/>
        <v>46266</v>
      </c>
      <c r="N55" s="88">
        <f t="shared" si="43"/>
        <v>46296</v>
      </c>
      <c r="O55" s="86">
        <f t="shared" si="43"/>
        <v>46327</v>
      </c>
      <c r="P55" s="87">
        <f t="shared" si="43"/>
        <v>46357</v>
      </c>
      <c r="Q55" s="229" t="s">
        <v>134</v>
      </c>
      <c r="R55" s="57"/>
      <c r="S55" s="57"/>
      <c r="T55" s="57"/>
      <c r="U55" s="57"/>
      <c r="V55" s="57"/>
      <c r="W55" s="101"/>
      <c r="X55" s="59"/>
      <c r="Y55" s="59"/>
      <c r="Z55" s="59"/>
      <c r="AA55" s="59"/>
      <c r="AB55" s="59"/>
      <c r="AC55" s="59"/>
      <c r="AD55" s="59"/>
      <c r="AE55" s="59"/>
    </row>
    <row r="56" spans="1:31" s="2" customFormat="1" ht="15" customHeight="1" x14ac:dyDescent="0.25">
      <c r="A56" s="319" t="s">
        <v>151</v>
      </c>
      <c r="B56" s="279" t="s">
        <v>152</v>
      </c>
      <c r="C56" s="292" t="str">
        <f t="shared" ref="C56:H56" si="44">IF($C$16="Salaire horaire",IF($M$8="","",(C25*$P$10)+(C24*$P$7)+C26+C28+(C32+C33)/(IF($M$13&gt;1,((($M$8+$M$13)/2)),$M$8))),"Salaire mensuel")</f>
        <v>Salaire mensuel</v>
      </c>
      <c r="D56" s="292" t="str">
        <f t="shared" si="44"/>
        <v>Salaire mensuel</v>
      </c>
      <c r="E56" s="292" t="str">
        <f t="shared" si="44"/>
        <v>Salaire mensuel</v>
      </c>
      <c r="F56" s="292" t="str">
        <f t="shared" si="44"/>
        <v>Salaire mensuel</v>
      </c>
      <c r="G56" s="292" t="str">
        <f t="shared" si="44"/>
        <v>Salaire mensuel</v>
      </c>
      <c r="H56" s="293" t="str">
        <f t="shared" si="44"/>
        <v>Salaire mensuel</v>
      </c>
      <c r="I56" s="320" t="str">
        <f>A56</f>
        <v>Nombre d'heures</v>
      </c>
      <c r="J56" s="279" t="s">
        <v>153</v>
      </c>
      <c r="K56" s="292" t="str">
        <f t="shared" ref="K56:P56" si="45">IF($C$16="Salaire horaire",IF($M$8="","",(K25*$P$10)+(K24*$P$7)+K26+K28+(K32+K33)/(IF($M$13&gt;1,((($M$8+$M$13)/2)),$M$8))),"Salaire mensuel")</f>
        <v>Salaire mensuel</v>
      </c>
      <c r="L56" s="292" t="str">
        <f t="shared" si="45"/>
        <v>Salaire mensuel</v>
      </c>
      <c r="M56" s="292" t="str">
        <f t="shared" si="45"/>
        <v>Salaire mensuel</v>
      </c>
      <c r="N56" s="292" t="str">
        <f t="shared" si="45"/>
        <v>Salaire mensuel</v>
      </c>
      <c r="O56" s="292" t="str">
        <f t="shared" si="45"/>
        <v>Salaire mensuel</v>
      </c>
      <c r="P56" s="293" t="str">
        <f t="shared" si="45"/>
        <v>Salaire mensuel</v>
      </c>
      <c r="Q56" s="233">
        <f>SUM(C56:H56)+SUM(K56:P56)</f>
        <v>0</v>
      </c>
      <c r="R56" s="57"/>
      <c r="S56" s="57"/>
      <c r="T56" s="57"/>
      <c r="U56" s="57"/>
      <c r="V56" s="57"/>
      <c r="W56" s="101"/>
      <c r="X56" s="59"/>
      <c r="Y56" s="59"/>
      <c r="Z56" s="59"/>
      <c r="AA56" s="59"/>
      <c r="AB56" s="59"/>
      <c r="AC56" s="59"/>
      <c r="AD56" s="59"/>
      <c r="AE56" s="59"/>
    </row>
    <row r="57" spans="1:31" s="2" customFormat="1" ht="15" customHeight="1" x14ac:dyDescent="0.25">
      <c r="A57" s="320" t="s">
        <v>146</v>
      </c>
      <c r="B57" s="280" t="s">
        <v>136</v>
      </c>
      <c r="C57" s="294">
        <f>C49-C48-C47-C46-C36-C35-C34-C31</f>
        <v>0</v>
      </c>
      <c r="D57" s="294">
        <f t="shared" ref="D57:H57" si="46">D49-D48-D47-D46-D36-D35-D34-D31</f>
        <v>0</v>
      </c>
      <c r="E57" s="294">
        <f t="shared" si="46"/>
        <v>0</v>
      </c>
      <c r="F57" s="294">
        <f t="shared" si="46"/>
        <v>0</v>
      </c>
      <c r="G57" s="294">
        <f t="shared" si="46"/>
        <v>0</v>
      </c>
      <c r="H57" s="293">
        <f t="shared" si="46"/>
        <v>0</v>
      </c>
      <c r="I57" s="320" t="str">
        <f>A57</f>
        <v>Salaire net</v>
      </c>
      <c r="J57" s="280" t="s">
        <v>136</v>
      </c>
      <c r="K57" s="60">
        <f t="shared" ref="K57:P57" si="47">K49-K48-K47-K46-K36-K35-K34-K31</f>
        <v>0</v>
      </c>
      <c r="L57" s="60">
        <f t="shared" si="47"/>
        <v>0</v>
      </c>
      <c r="M57" s="60">
        <f t="shared" si="47"/>
        <v>0</v>
      </c>
      <c r="N57" s="301">
        <f t="shared" si="47"/>
        <v>0</v>
      </c>
      <c r="O57" s="60">
        <f t="shared" si="47"/>
        <v>0</v>
      </c>
      <c r="P57" s="61">
        <f t="shared" si="47"/>
        <v>0</v>
      </c>
      <c r="Q57" s="61">
        <f>SUM(C57:H57)+SUM(K57:P57)</f>
        <v>0</v>
      </c>
      <c r="R57" s="57"/>
      <c r="S57" s="57"/>
      <c r="T57" s="57"/>
      <c r="U57" s="57"/>
      <c r="V57" s="57"/>
      <c r="W57" s="101"/>
      <c r="X57" s="58"/>
      <c r="Y57" s="59"/>
      <c r="Z57" s="59"/>
      <c r="AA57" s="59"/>
      <c r="AB57" s="59"/>
      <c r="AC57" s="59"/>
      <c r="AD57" s="59"/>
      <c r="AE57" s="59"/>
    </row>
    <row r="58" spans="1:31" s="2" customFormat="1" ht="15" customHeight="1" thickBot="1" x14ac:dyDescent="0.3">
      <c r="A58" s="321" t="s">
        <v>154</v>
      </c>
      <c r="B58" s="281" t="s">
        <v>136</v>
      </c>
      <c r="C58" s="295">
        <f>IF(C32&gt;0.1,C32-(C32*(SUM($T$8:$T$14)+$Y$9+$T$16))-(C32/IF(C39=0,1,C39)*-C44),IF(C32&lt;-0.1,C32-(C32*(SUM($T$8:$T$14)+$Y$9+$T$16))-(C32/IF(C39=0,1,C39)*-C44),0))</f>
        <v>0</v>
      </c>
      <c r="D58" s="295">
        <f t="shared" ref="D58:H58" si="48">IF(D32&gt;0.1,D32-(D32*(SUM($T$8:$T$14)+$Y$9+$T$16))-(D32/IF(D39=0,1,D39)*-D44),IF(D32&lt;-0.1,D32-(D32*(SUM($T$8:$T$14)+$Y$9+$T$16))-(D32/IF(D39=0,1,D39)*-D44),0))</f>
        <v>0</v>
      </c>
      <c r="E58" s="295">
        <f t="shared" si="48"/>
        <v>0</v>
      </c>
      <c r="F58" s="295">
        <f t="shared" si="48"/>
        <v>0</v>
      </c>
      <c r="G58" s="295">
        <f t="shared" si="48"/>
        <v>0</v>
      </c>
      <c r="H58" s="296">
        <f t="shared" si="48"/>
        <v>0</v>
      </c>
      <c r="I58" s="321" t="str">
        <f>A58</f>
        <v>Dont oblig. de verser le salaire (art. 324a CO)</v>
      </c>
      <c r="J58" s="281" t="s">
        <v>136</v>
      </c>
      <c r="K58" s="295">
        <f t="shared" ref="K58:P58" si="49">IF(K32&gt;0.1,K32-(K32*(SUM($T$8:$T$14)+$Y$9+$T$16))-(K32/IF(K39=0,1,K39)*-K44),IF(K32&lt;-0.1,K32-(K32*(SUM($T$8:$T$14)+$Y$9+$T$16))-(K32/IF(K39=0,1,K39)*-K44),0))</f>
        <v>0</v>
      </c>
      <c r="L58" s="295">
        <f t="shared" si="49"/>
        <v>0</v>
      </c>
      <c r="M58" s="295">
        <f t="shared" si="49"/>
        <v>0</v>
      </c>
      <c r="N58" s="295">
        <f t="shared" si="49"/>
        <v>0</v>
      </c>
      <c r="O58" s="295">
        <f t="shared" si="49"/>
        <v>0</v>
      </c>
      <c r="P58" s="296">
        <f t="shared" si="49"/>
        <v>0</v>
      </c>
      <c r="Q58" s="84">
        <f>SUM(C58:H58)+SUM(K58:P58)</f>
        <v>0</v>
      </c>
      <c r="R58" s="57"/>
      <c r="S58" s="57"/>
      <c r="T58" s="57"/>
      <c r="U58" s="57"/>
      <c r="V58" s="57"/>
      <c r="W58" s="101"/>
      <c r="X58" s="58"/>
      <c r="Y58" s="59"/>
      <c r="Z58" s="59"/>
      <c r="AA58" s="59"/>
      <c r="AB58" s="59"/>
      <c r="AC58" s="59"/>
      <c r="AD58" s="59"/>
      <c r="AE58" s="59"/>
    </row>
    <row r="59" spans="1:31" s="6" customFormat="1" ht="5.15" customHeight="1" thickBot="1" x14ac:dyDescent="0.3">
      <c r="A59" s="2"/>
      <c r="B59" s="2"/>
      <c r="C59" s="65"/>
      <c r="D59" s="57"/>
      <c r="E59" s="66"/>
      <c r="F59" s="57"/>
      <c r="G59" s="57"/>
      <c r="H59" s="67"/>
      <c r="I59" s="2"/>
      <c r="J59" s="2"/>
      <c r="K59" s="67"/>
      <c r="L59" s="67"/>
      <c r="M59" s="67"/>
      <c r="N59" s="65"/>
      <c r="O59" s="57"/>
      <c r="P59" s="57"/>
      <c r="Q59" s="57"/>
      <c r="R59" s="62"/>
      <c r="S59" s="57"/>
      <c r="T59" s="57"/>
      <c r="U59" s="57"/>
      <c r="V59" s="62"/>
      <c r="W59" s="101"/>
      <c r="X59" s="58"/>
      <c r="Y59" s="59"/>
      <c r="Z59" s="59"/>
      <c r="AA59" s="59"/>
      <c r="AB59" s="59"/>
      <c r="AC59" s="59"/>
      <c r="AD59" s="64"/>
      <c r="AE59" s="64"/>
    </row>
    <row r="60" spans="1:31" s="6" customFormat="1" ht="15" customHeight="1" x14ac:dyDescent="0.3">
      <c r="A60" s="322" t="str">
        <f>IF(G12="oui","Contribution d'assistance de l'AI","")</f>
        <v/>
      </c>
      <c r="B60" s="282"/>
      <c r="C60" s="226" t="str">
        <f>IF($G$12="oui",C21,"")</f>
        <v/>
      </c>
      <c r="D60" s="226" t="str">
        <f t="shared" ref="D60:H60" si="50">IF($G$12="oui",D21,"")</f>
        <v/>
      </c>
      <c r="E60" s="226" t="str">
        <f t="shared" si="50"/>
        <v/>
      </c>
      <c r="F60" s="226" t="str">
        <f t="shared" si="50"/>
        <v/>
      </c>
      <c r="G60" s="226" t="str">
        <f t="shared" si="50"/>
        <v/>
      </c>
      <c r="H60" s="227" t="str">
        <f t="shared" si="50"/>
        <v/>
      </c>
      <c r="I60" s="322" t="str">
        <f t="shared" ref="I60:I64" si="51">A60</f>
        <v/>
      </c>
      <c r="J60" s="282"/>
      <c r="K60" s="226" t="str">
        <f>IF($G$12="oui",K21,"")</f>
        <v/>
      </c>
      <c r="L60" s="226" t="str">
        <f t="shared" ref="L60:P60" si="52">IF($G$12="oui",L21,"")</f>
        <v/>
      </c>
      <c r="M60" s="226" t="str">
        <f t="shared" si="52"/>
        <v/>
      </c>
      <c r="N60" s="226" t="str">
        <f t="shared" si="52"/>
        <v/>
      </c>
      <c r="O60" s="226" t="str">
        <f t="shared" si="52"/>
        <v/>
      </c>
      <c r="P60" s="227" t="str">
        <f t="shared" si="52"/>
        <v/>
      </c>
      <c r="Q60" s="230" t="str">
        <f>IF($G$12="Oui","Total","")</f>
        <v/>
      </c>
      <c r="R60" s="62"/>
      <c r="S60" s="62"/>
      <c r="T60" s="62"/>
      <c r="U60" s="62"/>
      <c r="V60" s="62"/>
      <c r="W60" s="102"/>
      <c r="X60" s="63"/>
      <c r="Y60" s="64"/>
      <c r="Z60" s="64"/>
      <c r="AA60" s="64"/>
      <c r="AB60" s="64"/>
      <c r="AC60" s="64"/>
      <c r="AD60" s="64"/>
      <c r="AE60" s="64"/>
    </row>
    <row r="61" spans="1:31" s="2" customFormat="1" ht="15" customHeight="1" x14ac:dyDescent="0.3">
      <c r="A61" s="323" t="str">
        <f>IF(G12="oui","A) Nb. d'heures standard","")</f>
        <v/>
      </c>
      <c r="B61" s="283" t="str">
        <f>IF(G12="oui","h"," ")</f>
        <v xml:space="preserve"> </v>
      </c>
      <c r="C61" s="297" t="str">
        <f>IF($G$12="oui",(IF(DATEDIF($F$7,C$21,"Y")&lt;18,0,C26+C28)),"")</f>
        <v/>
      </c>
      <c r="D61" s="297" t="str">
        <f t="shared" ref="D61:H61" si="53">IF($G$12="oui",(IF(DATEDIF($F$7,D$21,"Y")&lt;18,0,D26+D28)),"")</f>
        <v/>
      </c>
      <c r="E61" s="297" t="str">
        <f t="shared" si="53"/>
        <v/>
      </c>
      <c r="F61" s="297" t="str">
        <f t="shared" si="53"/>
        <v/>
      </c>
      <c r="G61" s="297" t="str">
        <f t="shared" si="53"/>
        <v/>
      </c>
      <c r="H61" s="298" t="str">
        <f t="shared" si="53"/>
        <v/>
      </c>
      <c r="I61" s="324" t="str">
        <f t="shared" si="51"/>
        <v/>
      </c>
      <c r="J61" s="283" t="str">
        <f>B61</f>
        <v xml:space="preserve"> </v>
      </c>
      <c r="K61" s="297" t="str">
        <f>IF($G$12="oui",(IF(DATEDIF($F$7,K$21,"Y")&lt;18,0,K26+K28)),"")</f>
        <v/>
      </c>
      <c r="L61" s="297" t="str">
        <f t="shared" ref="L61:P61" si="54">IF($G$12="oui",(IF(DATEDIF($F$7,L$21,"Y")&lt;18,0,L26+L28)),"")</f>
        <v/>
      </c>
      <c r="M61" s="297" t="str">
        <f t="shared" si="54"/>
        <v/>
      </c>
      <c r="N61" s="297" t="str">
        <f t="shared" si="54"/>
        <v/>
      </c>
      <c r="O61" s="297" t="str">
        <f t="shared" si="54"/>
        <v/>
      </c>
      <c r="P61" s="298" t="str">
        <f t="shared" si="54"/>
        <v/>
      </c>
      <c r="Q61" s="402" t="str">
        <f>IF($G$12="Oui",SUM(C61:H61)+SUM(K61:P61),"")</f>
        <v/>
      </c>
      <c r="R61" s="57"/>
      <c r="S61" s="62"/>
      <c r="T61" s="62"/>
      <c r="U61" s="62"/>
      <c r="V61" s="57"/>
      <c r="W61" s="102"/>
      <c r="X61" s="63"/>
      <c r="Y61" s="64"/>
      <c r="Z61" s="64"/>
      <c r="AA61" s="64"/>
      <c r="AB61" s="64"/>
      <c r="AC61" s="64"/>
      <c r="AD61" s="59"/>
      <c r="AE61" s="59"/>
    </row>
    <row r="62" spans="1:31" s="2" customFormat="1" ht="15" customHeight="1" x14ac:dyDescent="0.25">
      <c r="A62" s="324" t="str">
        <f>IF(G12="oui","B) Nb. d'heures quali B","")</f>
        <v/>
      </c>
      <c r="B62" s="284" t="str">
        <f>IF(G12="oui","h"," ")</f>
        <v xml:space="preserve"> </v>
      </c>
      <c r="C62" s="297"/>
      <c r="D62" s="297"/>
      <c r="E62" s="297"/>
      <c r="F62" s="297"/>
      <c r="G62" s="297"/>
      <c r="H62" s="298"/>
      <c r="I62" s="324" t="str">
        <f t="shared" si="51"/>
        <v/>
      </c>
      <c r="J62" s="284" t="str">
        <f>B62</f>
        <v xml:space="preserve"> </v>
      </c>
      <c r="K62" s="297"/>
      <c r="L62" s="297"/>
      <c r="M62" s="297"/>
      <c r="N62" s="297"/>
      <c r="O62" s="297"/>
      <c r="P62" s="298"/>
      <c r="Q62" s="228" t="str">
        <f>IF($G$12="Oui",SUM(C62:H62)+SUM(K62:P62),"")</f>
        <v/>
      </c>
      <c r="R62" s="57"/>
      <c r="S62" s="57"/>
      <c r="T62" s="57"/>
      <c r="U62" s="57"/>
      <c r="V62" s="57"/>
      <c r="W62" s="101"/>
      <c r="X62" s="58"/>
      <c r="Y62" s="58"/>
      <c r="Z62" s="58"/>
      <c r="AA62" s="58"/>
      <c r="AB62" s="58"/>
      <c r="AC62" s="58"/>
      <c r="AD62" s="58"/>
      <c r="AE62" s="58"/>
    </row>
    <row r="63" spans="1:31" s="2" customFormat="1" ht="15" customHeight="1" x14ac:dyDescent="0.25">
      <c r="A63" s="445" t="str">
        <f>IF($G$12="oui","C) Nb. d'engagements 
de nuit","")</f>
        <v/>
      </c>
      <c r="B63" s="448" t="str">
        <f>IF(G12="oui","Nb."," ")</f>
        <v xml:space="preserve"> </v>
      </c>
      <c r="C63" s="376" t="str">
        <f>IF($G$12="Oui",(IF(DATEDIF($F$7,C$21,"Y")&lt;18,0,C25)),"")</f>
        <v/>
      </c>
      <c r="D63" s="376" t="str">
        <f t="shared" ref="D63:H63" si="55">IF($G$12="Oui",(IF(DATEDIF($F$7,D$21,"Y")&lt;18,0,D25)),"")</f>
        <v/>
      </c>
      <c r="E63" s="376" t="str">
        <f t="shared" si="55"/>
        <v/>
      </c>
      <c r="F63" s="376" t="str">
        <f t="shared" si="55"/>
        <v/>
      </c>
      <c r="G63" s="376" t="str">
        <f t="shared" si="55"/>
        <v/>
      </c>
      <c r="H63" s="377" t="str">
        <f t="shared" si="55"/>
        <v/>
      </c>
      <c r="I63" s="324" t="str">
        <f t="shared" si="51"/>
        <v/>
      </c>
      <c r="J63" s="284" t="str">
        <f>B63</f>
        <v xml:space="preserve"> </v>
      </c>
      <c r="K63" s="376" t="str">
        <f>IF($G$12="Oui",(IF(DATEDIF($F$7,K$21,"Y")&lt;18,0,K25)),"")</f>
        <v/>
      </c>
      <c r="L63" s="376" t="str">
        <f t="shared" ref="L63:P63" si="56">IF($G$12="Oui",(IF(DATEDIF($F$7,L$21,"Y")&lt;18,0,L25)),"")</f>
        <v/>
      </c>
      <c r="M63" s="376" t="str">
        <f t="shared" si="56"/>
        <v/>
      </c>
      <c r="N63" s="376" t="str">
        <f t="shared" si="56"/>
        <v/>
      </c>
      <c r="O63" s="376" t="str">
        <f t="shared" si="56"/>
        <v/>
      </c>
      <c r="P63" s="377" t="str">
        <f t="shared" si="56"/>
        <v/>
      </c>
      <c r="Q63" s="228" t="str">
        <f>IF($G$12="Oui",SUM(C63:H63)+SUM(K63:P63),"")</f>
        <v/>
      </c>
      <c r="R63" s="57"/>
      <c r="S63" s="57"/>
      <c r="T63" s="57"/>
      <c r="U63" s="57"/>
      <c r="V63" s="57"/>
      <c r="W63" s="101"/>
      <c r="X63" s="58"/>
      <c r="Y63" s="58"/>
      <c r="Z63" s="58"/>
      <c r="AA63" s="58"/>
      <c r="AB63" s="58"/>
      <c r="AC63" s="58"/>
      <c r="AD63" s="58"/>
      <c r="AE63" s="58"/>
    </row>
    <row r="64" spans="1:31" s="2" customFormat="1" ht="15" customHeight="1" thickBot="1" x14ac:dyDescent="0.3">
      <c r="A64" s="446" t="str">
        <f>IF(G12="oui","Oblig. de verser le salaire","")</f>
        <v/>
      </c>
      <c r="B64" s="449"/>
      <c r="C64" s="299" t="str">
        <f>IF($G$12="Oui",(IF(DATEDIF($F$7,C$21,"Y")&lt;18,0,(IF(OR(C32&gt;0.1,C33&gt;0.1),"décompter","")))),"")</f>
        <v/>
      </c>
      <c r="D64" s="299" t="str">
        <f t="shared" ref="D64:H64" si="57">IF($G$12="Oui",(IF(DATEDIF($F$7,D$21,"Y")&lt;18,0,(IF(OR(D32&gt;0.1,D33&gt;0.1),"décompter","")))),"")</f>
        <v/>
      </c>
      <c r="E64" s="299" t="str">
        <f t="shared" si="57"/>
        <v/>
      </c>
      <c r="F64" s="299" t="str">
        <f t="shared" si="57"/>
        <v/>
      </c>
      <c r="G64" s="299" t="str">
        <f t="shared" si="57"/>
        <v/>
      </c>
      <c r="H64" s="300" t="str">
        <f t="shared" si="57"/>
        <v/>
      </c>
      <c r="I64" s="325" t="str">
        <f t="shared" si="51"/>
        <v/>
      </c>
      <c r="J64" s="285">
        <f>B64</f>
        <v>0</v>
      </c>
      <c r="K64" s="299" t="str">
        <f>IF($G$12="Oui",(IF(DATEDIF($F$7,K$21,"Y")&lt;18,0,(IF(OR(K32&gt;0.1,K33&gt;0.1),"décompter","")))),"")</f>
        <v/>
      </c>
      <c r="L64" s="299" t="str">
        <f t="shared" ref="L64:P64" si="58">IF($G$12="Oui",(IF(DATEDIF($F$7,L$21,"Y")&lt;18,0,(IF(OR(L32&gt;0.1,L33&gt;0.1),"décompter","")))),"")</f>
        <v/>
      </c>
      <c r="M64" s="299" t="str">
        <f t="shared" si="58"/>
        <v/>
      </c>
      <c r="N64" s="299" t="str">
        <f t="shared" si="58"/>
        <v/>
      </c>
      <c r="O64" s="299" t="str">
        <f t="shared" si="58"/>
        <v/>
      </c>
      <c r="P64" s="300" t="str">
        <f t="shared" si="58"/>
        <v/>
      </c>
      <c r="Q64" s="231" t="str">
        <f>IF($G$12="oui",SUM(C64:H64)+SUM(K64:P64),"")</f>
        <v/>
      </c>
      <c r="R64" s="57"/>
      <c r="S64" s="57"/>
      <c r="T64" s="57"/>
      <c r="U64" s="57"/>
      <c r="V64" s="57"/>
      <c r="W64" s="101"/>
      <c r="X64" s="58"/>
      <c r="Y64" s="58"/>
      <c r="Z64" s="58"/>
      <c r="AA64" s="58"/>
      <c r="AB64" s="58"/>
      <c r="AC64" s="58"/>
      <c r="AD64" s="58"/>
      <c r="AE64" s="58"/>
    </row>
    <row r="65" spans="1:31" s="6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2"/>
      <c r="K65" s="1"/>
      <c r="L65" s="1"/>
      <c r="M65" s="1"/>
      <c r="N65" s="1"/>
      <c r="O65" s="1"/>
      <c r="P65" s="1"/>
      <c r="Q65" s="1"/>
      <c r="R65" s="62"/>
      <c r="S65" s="1"/>
      <c r="T65" s="1"/>
      <c r="U65" s="1"/>
      <c r="V65" s="62"/>
      <c r="W65" s="101"/>
      <c r="X65" s="58"/>
      <c r="Y65" s="58"/>
      <c r="Z65" s="58"/>
      <c r="AA65" s="58"/>
      <c r="AB65" s="58"/>
      <c r="AC65" s="58"/>
      <c r="AD65" s="63"/>
      <c r="AE65" s="63"/>
    </row>
    <row r="66" spans="1:31" s="415" customFormat="1" ht="15" customHeight="1" x14ac:dyDescent="0.25">
      <c r="A66" s="1"/>
      <c r="B66" s="1"/>
      <c r="C66" s="412"/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12"/>
      <c r="Q66" s="412"/>
      <c r="R66" s="413"/>
      <c r="S66" s="412"/>
      <c r="T66" s="412"/>
      <c r="U66" s="412"/>
      <c r="V66" s="413"/>
      <c r="W66" s="429"/>
      <c r="X66" s="414"/>
      <c r="Y66" s="414"/>
      <c r="Z66" s="414"/>
      <c r="AA66" s="414"/>
      <c r="AB66" s="414"/>
      <c r="AC66" s="414"/>
      <c r="AD66" s="414"/>
      <c r="AE66" s="414"/>
    </row>
    <row r="67" spans="1:31" s="412" customFormat="1" ht="20.5" hidden="1" customHeight="1" x14ac:dyDescent="0.2">
      <c r="A67" s="412" t="s">
        <v>155</v>
      </c>
      <c r="C67" s="424" t="str">
        <f>IF(AND($C$14&lt;=EOMONTH(C$21,0),OR($C$15&gt;=C$21,$C$15=""),$F$17&lt;=C$21),"oui","no")</f>
        <v>no</v>
      </c>
      <c r="D67" s="424" t="str">
        <f t="shared" ref="D67:H67" si="59">IF(AND($C$14&lt;=EOMONTH(D$21,0),OR($C$15&gt;=D$21,$C$15=""),$F$17&lt;=D$21),"oui","no")</f>
        <v>no</v>
      </c>
      <c r="E67" s="424" t="str">
        <f t="shared" si="59"/>
        <v>no</v>
      </c>
      <c r="F67" s="424" t="str">
        <f t="shared" si="59"/>
        <v>no</v>
      </c>
      <c r="G67" s="424" t="str">
        <f t="shared" si="59"/>
        <v>no</v>
      </c>
      <c r="H67" s="424" t="str">
        <f t="shared" si="59"/>
        <v>no</v>
      </c>
      <c r="I67" s="424"/>
      <c r="J67" s="424"/>
      <c r="K67" s="424" t="str">
        <f>IF(AND($C$14&lt;=EOMONTH(K$21,0),OR($C$15&gt;=K$21,$C$15=""),$F$17&lt;=K$21),"oui","no")</f>
        <v>no</v>
      </c>
      <c r="L67" s="424" t="str">
        <f t="shared" ref="L67:P67" si="60">IF(AND($C$14&lt;=EOMONTH(L$21,0),OR($C$15&gt;=L$21,$C$15=""),$F$17&lt;=L$21),"oui","no")</f>
        <v>no</v>
      </c>
      <c r="M67" s="424" t="str">
        <f t="shared" si="60"/>
        <v>no</v>
      </c>
      <c r="N67" s="424" t="str">
        <f t="shared" si="60"/>
        <v>no</v>
      </c>
      <c r="O67" s="424" t="str">
        <f t="shared" si="60"/>
        <v>no</v>
      </c>
      <c r="P67" s="424" t="str">
        <f t="shared" si="60"/>
        <v>no</v>
      </c>
      <c r="X67" s="416"/>
      <c r="Y67" s="416"/>
      <c r="Z67" s="416"/>
      <c r="AA67" s="416"/>
      <c r="AB67" s="416"/>
      <c r="AC67" s="416"/>
      <c r="AD67" s="416"/>
      <c r="AE67" s="416"/>
    </row>
    <row r="68" spans="1:31" s="412" customFormat="1" ht="10" hidden="1" x14ac:dyDescent="0.2">
      <c r="X68" s="416"/>
      <c r="Y68" s="416"/>
      <c r="Z68" s="416"/>
      <c r="AA68" s="416"/>
      <c r="AB68" s="416"/>
      <c r="AC68" s="416"/>
      <c r="AD68" s="416"/>
      <c r="AE68" s="416"/>
    </row>
    <row r="69" spans="1:31" s="412" customFormat="1" ht="10.5" hidden="1" x14ac:dyDescent="0.25">
      <c r="A69" s="417"/>
      <c r="C69" s="418">
        <f>C$21</f>
        <v>46023</v>
      </c>
      <c r="D69" s="418">
        <f t="shared" ref="D69:H69" si="61">D$21</f>
        <v>46054</v>
      </c>
      <c r="E69" s="418">
        <f t="shared" si="61"/>
        <v>46082</v>
      </c>
      <c r="F69" s="418">
        <f t="shared" si="61"/>
        <v>46113</v>
      </c>
      <c r="G69" s="418">
        <f t="shared" si="61"/>
        <v>46143</v>
      </c>
      <c r="H69" s="418">
        <f t="shared" si="61"/>
        <v>46174</v>
      </c>
      <c r="K69" s="418">
        <f>K$21</f>
        <v>46204</v>
      </c>
      <c r="L69" s="418">
        <f t="shared" ref="L69:P69" si="62">L$21</f>
        <v>46235</v>
      </c>
      <c r="M69" s="418">
        <f t="shared" si="62"/>
        <v>46266</v>
      </c>
      <c r="N69" s="418">
        <f t="shared" si="62"/>
        <v>46296</v>
      </c>
      <c r="O69" s="418">
        <f t="shared" si="62"/>
        <v>46327</v>
      </c>
      <c r="P69" s="418">
        <f t="shared" si="62"/>
        <v>46357</v>
      </c>
      <c r="X69" s="416"/>
      <c r="Y69" s="416"/>
      <c r="Z69" s="416"/>
      <c r="AA69" s="416"/>
      <c r="AB69" s="416"/>
      <c r="AC69" s="416"/>
      <c r="AD69" s="416"/>
      <c r="AE69" s="416"/>
    </row>
    <row r="70" spans="1:31" s="412" customFormat="1" ht="10.5" hidden="1" x14ac:dyDescent="0.25">
      <c r="A70" s="419" t="s">
        <v>156</v>
      </c>
      <c r="C70" s="419">
        <f t="shared" ref="C70:H70" si="63">IF($C$16="Salaire horaire",SUM(C$27,C$29,C$30,C$31,C$32,C$33,C$34),SUM(C$22,C$23,C$30,C$31,C$32,C$33,C$34))</f>
        <v>0</v>
      </c>
      <c r="D70" s="419">
        <f t="shared" si="63"/>
        <v>0</v>
      </c>
      <c r="E70" s="419">
        <f t="shared" si="63"/>
        <v>0</v>
      </c>
      <c r="F70" s="419">
        <f t="shared" si="63"/>
        <v>0</v>
      </c>
      <c r="G70" s="419">
        <f t="shared" si="63"/>
        <v>0</v>
      </c>
      <c r="H70" s="419">
        <f t="shared" si="63"/>
        <v>0</v>
      </c>
      <c r="K70" s="419">
        <f t="shared" ref="K70:P70" si="64">IF($C$16="Salaire horaire",SUM(K$27,K$29,K$30,K$31,K$32,K$33,K$34),SUM(K$22,K$23,K$30,K$31,K$32,K$33,K$34))</f>
        <v>0</v>
      </c>
      <c r="L70" s="419">
        <f t="shared" si="64"/>
        <v>0</v>
      </c>
      <c r="M70" s="419">
        <f t="shared" si="64"/>
        <v>0</v>
      </c>
      <c r="N70" s="419">
        <f t="shared" si="64"/>
        <v>0</v>
      </c>
      <c r="O70" s="419">
        <f t="shared" si="64"/>
        <v>0</v>
      </c>
      <c r="P70" s="419">
        <f t="shared" si="64"/>
        <v>0</v>
      </c>
      <c r="X70" s="416"/>
      <c r="Y70" s="416"/>
      <c r="Z70" s="416"/>
      <c r="AA70" s="416"/>
      <c r="AB70" s="416"/>
      <c r="AC70" s="416"/>
      <c r="AD70" s="416"/>
      <c r="AE70" s="416"/>
    </row>
    <row r="71" spans="1:31" s="412" customFormat="1" ht="10.5" hidden="1" x14ac:dyDescent="0.25">
      <c r="A71" s="419" t="s">
        <v>157</v>
      </c>
      <c r="C71" s="419">
        <f>IF(C$73=0,0,C$70)</f>
        <v>0</v>
      </c>
      <c r="D71" s="419">
        <f>IF(D$73=0,0,D$70+C$71)</f>
        <v>0</v>
      </c>
      <c r="E71" s="419">
        <f t="shared" ref="E71:G71" si="65">IF(E$73=0,0,E$70+D$71)</f>
        <v>0</v>
      </c>
      <c r="F71" s="419">
        <f t="shared" si="65"/>
        <v>0</v>
      </c>
      <c r="G71" s="419">
        <f t="shared" si="65"/>
        <v>0</v>
      </c>
      <c r="H71" s="419">
        <f>IF(H$73=0,0,H$70+G$71)</f>
        <v>0</v>
      </c>
      <c r="K71" s="419">
        <f>IF(K$73=0,0,K$70+H$71)</f>
        <v>0</v>
      </c>
      <c r="L71" s="419">
        <f>IF(L$73=0,0,L$70+K$71)</f>
        <v>0</v>
      </c>
      <c r="M71" s="419">
        <f t="shared" ref="M71:P71" si="66">IF(M$73=0,0,M$70+L$71)</f>
        <v>0</v>
      </c>
      <c r="N71" s="419">
        <f t="shared" si="66"/>
        <v>0</v>
      </c>
      <c r="O71" s="419">
        <f t="shared" si="66"/>
        <v>0</v>
      </c>
      <c r="P71" s="419">
        <f t="shared" si="66"/>
        <v>0</v>
      </c>
      <c r="X71" s="416"/>
      <c r="Y71" s="416"/>
      <c r="Z71" s="416"/>
      <c r="AA71" s="416"/>
      <c r="AB71" s="416"/>
      <c r="AC71" s="416"/>
      <c r="AD71" s="416"/>
      <c r="AE71" s="416"/>
    </row>
    <row r="72" spans="1:31" s="412" customFormat="1" ht="10.5" hidden="1" x14ac:dyDescent="0.25">
      <c r="A72" s="419"/>
      <c r="C72" s="419"/>
      <c r="D72" s="419"/>
      <c r="E72" s="419"/>
      <c r="F72" s="419"/>
      <c r="G72" s="419"/>
      <c r="H72" s="419"/>
      <c r="K72" s="419"/>
      <c r="L72" s="419"/>
      <c r="M72" s="419"/>
      <c r="N72" s="419"/>
      <c r="O72" s="419"/>
      <c r="P72" s="419"/>
      <c r="X72" s="416"/>
      <c r="Y72" s="416"/>
      <c r="Z72" s="416"/>
      <c r="AA72" s="416"/>
      <c r="AB72" s="416"/>
      <c r="AC72" s="416"/>
      <c r="AD72" s="416"/>
      <c r="AE72" s="416"/>
    </row>
    <row r="73" spans="1:31" s="412" customFormat="1" ht="10.5" hidden="1" x14ac:dyDescent="0.25">
      <c r="A73" s="419" t="s">
        <v>6</v>
      </c>
      <c r="C73" s="419">
        <f>IF(C$67="oui",Grundlagen!$B$7,0)</f>
        <v>0</v>
      </c>
      <c r="D73" s="419">
        <f>IF(D$67="oui",Grundlagen!$B$7,0)</f>
        <v>0</v>
      </c>
      <c r="E73" s="419">
        <f>IF(E$67="oui",Grundlagen!$B$7,0)</f>
        <v>0</v>
      </c>
      <c r="F73" s="419">
        <f>IF(F$67="oui",Grundlagen!$B$7,0)</f>
        <v>0</v>
      </c>
      <c r="G73" s="419">
        <f>IF(G$67="oui",Grundlagen!$B$7,0)</f>
        <v>0</v>
      </c>
      <c r="H73" s="419">
        <f>IF(H$67="oui",Grundlagen!$B$7,0)</f>
        <v>0</v>
      </c>
      <c r="K73" s="419">
        <f>IF(K$67="oui",Grundlagen!$B$7,0)</f>
        <v>0</v>
      </c>
      <c r="L73" s="419">
        <f>IF(L$67="oui",Grundlagen!$B$7,0)</f>
        <v>0</v>
      </c>
      <c r="M73" s="419">
        <f>IF(M$67="oui",Grundlagen!$B$7,0)</f>
        <v>0</v>
      </c>
      <c r="N73" s="419">
        <f>IF(N$67="oui",Grundlagen!$B$7,0)</f>
        <v>0</v>
      </c>
      <c r="O73" s="419">
        <f>IF(O$67="oui",Grundlagen!$B$7,0)</f>
        <v>0</v>
      </c>
      <c r="P73" s="419">
        <f>IF(P$67="oui",Grundlagen!$B$7,0)</f>
        <v>0</v>
      </c>
      <c r="X73" s="416"/>
      <c r="Y73" s="416"/>
      <c r="Z73" s="416"/>
      <c r="AA73" s="416"/>
      <c r="AB73" s="416"/>
      <c r="AC73" s="416"/>
      <c r="AD73" s="416"/>
      <c r="AE73" s="416"/>
    </row>
    <row r="74" spans="1:31" s="412" customFormat="1" ht="10.5" hidden="1" x14ac:dyDescent="0.25">
      <c r="A74" s="419" t="s">
        <v>158</v>
      </c>
      <c r="C74" s="419">
        <f>C$73</f>
        <v>0</v>
      </c>
      <c r="D74" s="419">
        <f>C$74+D$73</f>
        <v>0</v>
      </c>
      <c r="E74" s="419">
        <f t="shared" ref="E74:H74" si="67">D$74+E$73</f>
        <v>0</v>
      </c>
      <c r="F74" s="419">
        <f t="shared" si="67"/>
        <v>0</v>
      </c>
      <c r="G74" s="419">
        <f t="shared" si="67"/>
        <v>0</v>
      </c>
      <c r="H74" s="419">
        <f t="shared" si="67"/>
        <v>0</v>
      </c>
      <c r="K74" s="419">
        <f>H$74+K$73</f>
        <v>0</v>
      </c>
      <c r="L74" s="419">
        <f>K$74+L$73</f>
        <v>0</v>
      </c>
      <c r="M74" s="419">
        <f t="shared" ref="M74:P74" si="68">L$74+M$73</f>
        <v>0</v>
      </c>
      <c r="N74" s="419">
        <f t="shared" si="68"/>
        <v>0</v>
      </c>
      <c r="O74" s="419">
        <f t="shared" si="68"/>
        <v>0</v>
      </c>
      <c r="P74" s="419">
        <f t="shared" si="68"/>
        <v>0</v>
      </c>
      <c r="X74" s="416"/>
      <c r="Y74" s="416"/>
      <c r="Z74" s="416"/>
      <c r="AA74" s="416"/>
      <c r="AB74" s="416"/>
      <c r="AC74" s="416"/>
      <c r="AD74" s="416"/>
      <c r="AE74" s="416"/>
    </row>
    <row r="75" spans="1:31" s="412" customFormat="1" ht="10.5" hidden="1" x14ac:dyDescent="0.25">
      <c r="A75" s="419"/>
      <c r="C75" s="419"/>
      <c r="D75" s="419"/>
      <c r="E75" s="419"/>
      <c r="F75" s="419"/>
      <c r="G75" s="419"/>
      <c r="H75" s="419"/>
      <c r="K75" s="419"/>
      <c r="L75" s="419"/>
      <c r="M75" s="419"/>
      <c r="N75" s="419"/>
      <c r="O75" s="419"/>
      <c r="P75" s="419"/>
      <c r="X75" s="416"/>
      <c r="Y75" s="416"/>
      <c r="Z75" s="416"/>
      <c r="AA75" s="416"/>
      <c r="AB75" s="416"/>
      <c r="AC75" s="416"/>
      <c r="AD75" s="416"/>
      <c r="AE75" s="416"/>
    </row>
    <row r="76" spans="1:31" s="412" customFormat="1" ht="10.5" hidden="1" x14ac:dyDescent="0.25">
      <c r="A76" s="419" t="s">
        <v>159</v>
      </c>
      <c r="C76" s="419">
        <f>IF(C$71&gt;C$74,C$71-C$74,0)</f>
        <v>0</v>
      </c>
      <c r="D76" s="419">
        <f t="shared" ref="D76:H76" si="69">IF(D$71&gt;D$74,D$71-D$74,0)</f>
        <v>0</v>
      </c>
      <c r="E76" s="419">
        <f t="shared" si="69"/>
        <v>0</v>
      </c>
      <c r="F76" s="419">
        <f t="shared" si="69"/>
        <v>0</v>
      </c>
      <c r="G76" s="419">
        <f t="shared" si="69"/>
        <v>0</v>
      </c>
      <c r="H76" s="419">
        <f t="shared" si="69"/>
        <v>0</v>
      </c>
      <c r="K76" s="419">
        <f>IF(K$71&gt;K$74,K$71-K$74,0)</f>
        <v>0</v>
      </c>
      <c r="L76" s="419">
        <f t="shared" ref="L76:P76" si="70">IF(L$71&gt;L$74,L$71-L$74,0)</f>
        <v>0</v>
      </c>
      <c r="M76" s="419">
        <f t="shared" si="70"/>
        <v>0</v>
      </c>
      <c r="N76" s="419">
        <f t="shared" si="70"/>
        <v>0</v>
      </c>
      <c r="O76" s="419">
        <f t="shared" si="70"/>
        <v>0</v>
      </c>
      <c r="P76" s="419">
        <f t="shared" si="70"/>
        <v>0</v>
      </c>
      <c r="X76" s="416"/>
      <c r="Y76" s="416"/>
      <c r="Z76" s="416"/>
      <c r="AA76" s="416"/>
      <c r="AB76" s="416"/>
      <c r="AC76" s="416"/>
      <c r="AD76" s="416"/>
      <c r="AE76" s="416"/>
    </row>
    <row r="77" spans="1:31" s="412" customFormat="1" ht="10.5" hidden="1" x14ac:dyDescent="0.25">
      <c r="A77" s="419" t="s">
        <v>160</v>
      </c>
      <c r="C77" s="419">
        <f>C$79</f>
        <v>0</v>
      </c>
      <c r="D77" s="419">
        <f>C$77+D$79</f>
        <v>0</v>
      </c>
      <c r="E77" s="419">
        <f t="shared" ref="E77:H77" si="71">D$77+E$79</f>
        <v>0</v>
      </c>
      <c r="F77" s="419">
        <f t="shared" si="71"/>
        <v>0</v>
      </c>
      <c r="G77" s="419">
        <f t="shared" si="71"/>
        <v>0</v>
      </c>
      <c r="H77" s="419">
        <f t="shared" si="71"/>
        <v>0</v>
      </c>
      <c r="K77" s="419">
        <f>H$77+K$79</f>
        <v>0</v>
      </c>
      <c r="L77" s="419">
        <f>K$77+L$79</f>
        <v>0</v>
      </c>
      <c r="M77" s="419">
        <f t="shared" ref="M77:P77" si="72">L$77+M$79</f>
        <v>0</v>
      </c>
      <c r="N77" s="419">
        <f t="shared" si="72"/>
        <v>0</v>
      </c>
      <c r="O77" s="419">
        <f t="shared" si="72"/>
        <v>0</v>
      </c>
      <c r="P77" s="419">
        <f t="shared" si="72"/>
        <v>0</v>
      </c>
      <c r="X77" s="416"/>
      <c r="Y77" s="416"/>
      <c r="Z77" s="416"/>
      <c r="AA77" s="416"/>
      <c r="AB77" s="416"/>
      <c r="AC77" s="416"/>
      <c r="AD77" s="416"/>
      <c r="AE77" s="416"/>
    </row>
    <row r="78" spans="1:31" s="412" customFormat="1" ht="10.5" hidden="1" x14ac:dyDescent="0.25">
      <c r="A78" s="419"/>
      <c r="C78" s="419"/>
      <c r="D78" s="419"/>
      <c r="E78" s="419"/>
      <c r="F78" s="419"/>
      <c r="G78" s="419"/>
      <c r="H78" s="419"/>
      <c r="K78" s="419"/>
      <c r="L78" s="419"/>
      <c r="M78" s="419"/>
      <c r="N78" s="419"/>
      <c r="O78" s="419"/>
      <c r="P78" s="419"/>
      <c r="X78" s="416"/>
      <c r="Y78" s="416"/>
      <c r="Z78" s="416"/>
      <c r="AA78" s="416"/>
      <c r="AB78" s="416"/>
      <c r="AC78" s="416"/>
      <c r="AD78" s="416"/>
      <c r="AE78" s="416"/>
    </row>
    <row r="79" spans="1:31" s="412" customFormat="1" ht="10.5" hidden="1" x14ac:dyDescent="0.25">
      <c r="A79" s="420" t="s">
        <v>161</v>
      </c>
      <c r="C79" s="419">
        <f>IF(C$70=0,0,C$76)</f>
        <v>0</v>
      </c>
      <c r="D79" s="420">
        <f>IF(D$70=0,0,D$76-C$77)</f>
        <v>0</v>
      </c>
      <c r="E79" s="420">
        <f t="shared" ref="E79:H79" si="73">IF(E$70=0,0,E$76-D$77)</f>
        <v>0</v>
      </c>
      <c r="F79" s="420">
        <f t="shared" si="73"/>
        <v>0</v>
      </c>
      <c r="G79" s="420">
        <f t="shared" si="73"/>
        <v>0</v>
      </c>
      <c r="H79" s="420">
        <f t="shared" si="73"/>
        <v>0</v>
      </c>
      <c r="K79" s="420">
        <f>IF(K$70=0,0,K$76-H$77)</f>
        <v>0</v>
      </c>
      <c r="L79" s="420">
        <f t="shared" ref="L79:P79" si="74">IF(L$70=0,0,L$76-K$77)</f>
        <v>0</v>
      </c>
      <c r="M79" s="420">
        <f t="shared" si="74"/>
        <v>0</v>
      </c>
      <c r="N79" s="420">
        <f t="shared" si="74"/>
        <v>0</v>
      </c>
      <c r="O79" s="420">
        <f t="shared" si="74"/>
        <v>0</v>
      </c>
      <c r="P79" s="420">
        <f t="shared" si="74"/>
        <v>0</v>
      </c>
      <c r="X79" s="416"/>
      <c r="Y79" s="416"/>
      <c r="Z79" s="416"/>
      <c r="AA79" s="416"/>
      <c r="AB79" s="416"/>
      <c r="AC79" s="416"/>
      <c r="AD79" s="416"/>
      <c r="AE79" s="416"/>
    </row>
    <row r="80" spans="1:31" s="412" customFormat="1" ht="10.5" hidden="1" x14ac:dyDescent="0.25">
      <c r="A80" s="421" t="s">
        <v>6</v>
      </c>
      <c r="C80" s="421">
        <f>ROUND((IF(C$73=0,0,C$79-C$70)*-1)/5,2)*5</f>
        <v>0</v>
      </c>
      <c r="D80" s="421">
        <f>ROUND((IF(D$73=0,0,D$79-D$70)*-1)/5,2)*5</f>
        <v>0</v>
      </c>
      <c r="E80" s="421">
        <f t="shared" ref="E80:H80" si="75">ROUND((IF(E$73=0,0,E$79-E$70)*-1)/5,2)*5</f>
        <v>0</v>
      </c>
      <c r="F80" s="421">
        <f t="shared" si="75"/>
        <v>0</v>
      </c>
      <c r="G80" s="421">
        <f t="shared" si="75"/>
        <v>0</v>
      </c>
      <c r="H80" s="421">
        <f t="shared" si="75"/>
        <v>0</v>
      </c>
      <c r="K80" s="421">
        <f t="shared" ref="K80:P80" si="76">ROUND((IF(K$73=0,0,K$79-K$70)*-1)/5,2)*5</f>
        <v>0</v>
      </c>
      <c r="L80" s="421">
        <f t="shared" si="76"/>
        <v>0</v>
      </c>
      <c r="M80" s="421">
        <f t="shared" si="76"/>
        <v>0</v>
      </c>
      <c r="N80" s="421">
        <f t="shared" si="76"/>
        <v>0</v>
      </c>
      <c r="O80" s="421">
        <f t="shared" si="76"/>
        <v>0</v>
      </c>
      <c r="P80" s="421">
        <f t="shared" si="76"/>
        <v>0</v>
      </c>
      <c r="X80" s="416"/>
      <c r="Y80" s="416"/>
      <c r="Z80" s="416"/>
      <c r="AA80" s="416"/>
      <c r="AB80" s="416"/>
      <c r="AC80" s="416"/>
      <c r="AD80" s="416"/>
      <c r="AE80" s="416"/>
    </row>
    <row r="81" spans="1:31" s="412" customFormat="1" ht="10.5" hidden="1" x14ac:dyDescent="0.25">
      <c r="A81" s="420" t="s">
        <v>162</v>
      </c>
      <c r="C81" s="419">
        <f t="shared" ref="C81:H81" si="77">IF(C$67="oui",0,C$39)</f>
        <v>0</v>
      </c>
      <c r="D81" s="419">
        <f t="shared" si="77"/>
        <v>0</v>
      </c>
      <c r="E81" s="419">
        <f t="shared" si="77"/>
        <v>0</v>
      </c>
      <c r="F81" s="419">
        <f t="shared" si="77"/>
        <v>0</v>
      </c>
      <c r="G81" s="419">
        <f t="shared" si="77"/>
        <v>0</v>
      </c>
      <c r="H81" s="419">
        <f t="shared" si="77"/>
        <v>0</v>
      </c>
      <c r="K81" s="419">
        <f t="shared" ref="K81:P81" si="78">IF(K$67="oui",0,K$39)</f>
        <v>0</v>
      </c>
      <c r="L81" s="419">
        <f t="shared" si="78"/>
        <v>0</v>
      </c>
      <c r="M81" s="419">
        <f t="shared" si="78"/>
        <v>0</v>
      </c>
      <c r="N81" s="419">
        <f t="shared" si="78"/>
        <v>0</v>
      </c>
      <c r="O81" s="419">
        <f t="shared" si="78"/>
        <v>0</v>
      </c>
      <c r="P81" s="419">
        <f t="shared" si="78"/>
        <v>0</v>
      </c>
      <c r="Q81" s="430">
        <f>SUM(C81:P81)</f>
        <v>0</v>
      </c>
      <c r="X81" s="416"/>
      <c r="Y81" s="416"/>
      <c r="Z81" s="416"/>
      <c r="AA81" s="416"/>
      <c r="AB81" s="416"/>
      <c r="AC81" s="416"/>
      <c r="AD81" s="416"/>
      <c r="AE81" s="416"/>
    </row>
    <row r="82" spans="1:31" s="412" customFormat="1" ht="10" x14ac:dyDescent="0.2">
      <c r="X82" s="416"/>
      <c r="Y82" s="416"/>
      <c r="Z82" s="416"/>
      <c r="AA82" s="416"/>
      <c r="AB82" s="416"/>
      <c r="AC82" s="416"/>
      <c r="AD82" s="416"/>
      <c r="AE82" s="416"/>
    </row>
    <row r="83" spans="1:31" s="412" customFormat="1" ht="10" x14ac:dyDescent="0.2">
      <c r="X83" s="416"/>
      <c r="Y83" s="416"/>
      <c r="Z83" s="416"/>
      <c r="AA83" s="416"/>
      <c r="AB83" s="416"/>
      <c r="AC83" s="416"/>
      <c r="AD83" s="416"/>
      <c r="AE83" s="416"/>
    </row>
  </sheetData>
  <sheetProtection algorithmName="SHA-512" hashValue="QNy1VS84vwz40wVaVbprmrlHYk+a5PFh1mgnRd7HXEAM8Fty9MchN5OiDK10CpGO9JKTtrtTj2ROrNWTU0ez3w==" saltValue="7BWJ22z9koqJ+vFLlRqhDg==" spinCount="100000" sheet="1" objects="1" scenarios="1"/>
  <mergeCells count="48">
    <mergeCell ref="O52:O53"/>
    <mergeCell ref="P52:P53"/>
    <mergeCell ref="S24:U26"/>
    <mergeCell ref="S28:U30"/>
    <mergeCell ref="S31:U32"/>
    <mergeCell ref="S33:U35"/>
    <mergeCell ref="S36:U40"/>
    <mergeCell ref="S41:U43"/>
    <mergeCell ref="AB4:AB5"/>
    <mergeCell ref="AC4:AC5"/>
    <mergeCell ref="AD4:AD5"/>
    <mergeCell ref="AH4:AI5"/>
    <mergeCell ref="C6:D6"/>
    <mergeCell ref="F6:G6"/>
    <mergeCell ref="P1:Q3"/>
    <mergeCell ref="A2:C2"/>
    <mergeCell ref="I2:K2"/>
    <mergeCell ref="Y2:Y5"/>
    <mergeCell ref="AA2:AA5"/>
    <mergeCell ref="S4:T4"/>
    <mergeCell ref="X4:X5"/>
    <mergeCell ref="Z4:Z5"/>
    <mergeCell ref="A1:C1"/>
    <mergeCell ref="D1:F2"/>
    <mergeCell ref="G1:H3"/>
    <mergeCell ref="I1:K1"/>
    <mergeCell ref="L1:N2"/>
    <mergeCell ref="C52:C53"/>
    <mergeCell ref="D52:D53"/>
    <mergeCell ref="E52:E53"/>
    <mergeCell ref="F52:F53"/>
    <mergeCell ref="G52:G53"/>
    <mergeCell ref="H52:H53"/>
    <mergeCell ref="K52:K53"/>
    <mergeCell ref="L52:L53"/>
    <mergeCell ref="M52:M53"/>
    <mergeCell ref="N52:N53"/>
    <mergeCell ref="S18:U18"/>
    <mergeCell ref="S20:U22"/>
    <mergeCell ref="C7:D7"/>
    <mergeCell ref="F7:G7"/>
    <mergeCell ref="F14:G14"/>
    <mergeCell ref="F15:G15"/>
    <mergeCell ref="F16:G16"/>
    <mergeCell ref="C8:D8"/>
    <mergeCell ref="F8:G8"/>
    <mergeCell ref="C9:D9"/>
    <mergeCell ref="F9:G9"/>
  </mergeCells>
  <conditionalFormatting sqref="A25">
    <cfRule type="beginsWith" dxfId="323" priority="34" operator="beginsWith" text="Nom">
      <formula>LEFT(A25,LEN("Nom"))="Nom"</formula>
    </cfRule>
  </conditionalFormatting>
  <conditionalFormatting sqref="A26">
    <cfRule type="containsText" dxfId="322" priority="8" operator="containsText" text="Nombre d'heures">
      <formula>NOT(ISERROR(SEARCH("Nombre d'heures",A26)))</formula>
    </cfRule>
  </conditionalFormatting>
  <conditionalFormatting sqref="A28">
    <cfRule type="containsText" dxfId="321" priority="36" operator="containsText" text="Nombre d'heures II">
      <formula>NOT(ISERROR(SEARCH("Nombre d'heures II",A28)))</formula>
    </cfRule>
  </conditionalFormatting>
  <conditionalFormatting sqref="A24:B24">
    <cfRule type="expression" dxfId="320" priority="33">
      <formula>$G$11="oui"</formula>
    </cfRule>
  </conditionalFormatting>
  <conditionalFormatting sqref="A25:B25">
    <cfRule type="expression" dxfId="319" priority="31">
      <formula>$P$10&gt;0.1</formula>
    </cfRule>
  </conditionalFormatting>
  <conditionalFormatting sqref="A50:B50">
    <cfRule type="expression" dxfId="318" priority="32">
      <formula>$G$11="ja"</formula>
    </cfRule>
  </conditionalFormatting>
  <conditionalFormatting sqref="A60:B64">
    <cfRule type="expression" dxfId="317" priority="27">
      <formula>$G$12="non"</formula>
    </cfRule>
  </conditionalFormatting>
  <conditionalFormatting sqref="B25">
    <cfRule type="beginsWith" dxfId="316" priority="28" operator="beginsWith" text="Nb">
      <formula>LEFT(B25,LEN("Nb"))="Nb"</formula>
    </cfRule>
  </conditionalFormatting>
  <conditionalFormatting sqref="B26">
    <cfRule type="containsText" dxfId="315" priority="7" operator="containsText" text="h">
      <formula>NOT(ISERROR(SEARCH("h",B26)))</formula>
    </cfRule>
  </conditionalFormatting>
  <conditionalFormatting sqref="B28">
    <cfRule type="containsText" dxfId="314" priority="29" operator="containsText" text="h">
      <formula>NOT(ISERROR(SEARCH("h",B28)))</formula>
    </cfRule>
  </conditionalFormatting>
  <conditionalFormatting sqref="C17">
    <cfRule type="expression" dxfId="313" priority="83">
      <formula>$A$17="13ème salaire"</formula>
    </cfRule>
  </conditionalFormatting>
  <conditionalFormatting sqref="C22:H22">
    <cfRule type="cellIs" dxfId="312" priority="20" operator="greaterThan">
      <formula>1</formula>
    </cfRule>
  </conditionalFormatting>
  <conditionalFormatting sqref="C23:H23 K23:P23">
    <cfRule type="expression" dxfId="311" priority="48">
      <formula>$B$23="CHF"</formula>
    </cfRule>
  </conditionalFormatting>
  <conditionalFormatting sqref="C24:H24 K24:P24">
    <cfRule type="expression" dxfId="310" priority="73">
      <formula>$G$11="ja"</formula>
    </cfRule>
  </conditionalFormatting>
  <conditionalFormatting sqref="C25:H25 K25:P25">
    <cfRule type="expression" dxfId="309" priority="59">
      <formula>$B$25="Anz."</formula>
    </cfRule>
  </conditionalFormatting>
  <conditionalFormatting sqref="C26:H26">
    <cfRule type="expression" dxfId="308" priority="10">
      <formula>$G$12="oui"</formula>
    </cfRule>
    <cfRule type="expression" dxfId="307" priority="11">
      <formula>$C$16="Salaire horaire"</formula>
    </cfRule>
  </conditionalFormatting>
  <conditionalFormatting sqref="C28:H28 K28:P28">
    <cfRule type="expression" dxfId="306" priority="74">
      <formula>$G$10="Ja"</formula>
    </cfRule>
  </conditionalFormatting>
  <conditionalFormatting sqref="C50:H50">
    <cfRule type="expression" dxfId="305" priority="66">
      <formula>C51&lt;-0.01</formula>
    </cfRule>
    <cfRule type="expression" dxfId="304" priority="65">
      <formula>C51&gt;0.01</formula>
    </cfRule>
  </conditionalFormatting>
  <conditionalFormatting sqref="C51:H51">
    <cfRule type="cellIs" dxfId="303" priority="70" operator="greaterThan">
      <formula>0.04</formula>
    </cfRule>
    <cfRule type="cellIs" dxfId="302" priority="69" operator="lessThan">
      <formula>-0.04</formula>
    </cfRule>
  </conditionalFormatting>
  <conditionalFormatting sqref="C60:Q63 C64:P64">
    <cfRule type="expression" dxfId="301" priority="62">
      <formula>$G$12="nein"</formula>
    </cfRule>
  </conditionalFormatting>
  <conditionalFormatting sqref="G1">
    <cfRule type="containsText" dxfId="300" priority="117" operator="containsText" text="Achtung Fehler">
      <formula>NOT(ISERROR(SEARCH("Achtung Fehler",G1)))</formula>
    </cfRule>
  </conditionalFormatting>
  <conditionalFormatting sqref="G10">
    <cfRule type="expression" dxfId="299" priority="52">
      <formula>$C$16="Salaire horaire"</formula>
    </cfRule>
  </conditionalFormatting>
  <conditionalFormatting sqref="H17:H18">
    <cfRule type="beginsWith" dxfId="298" priority="44" operator="beginsWith" text="ATT">
      <formula>LEFT(H17,LEN("ATT"))="ATT"</formula>
    </cfRule>
  </conditionalFormatting>
  <conditionalFormatting sqref="I25">
    <cfRule type="beginsWith" dxfId="297" priority="50" operator="beginsWith" text="Nom">
      <formula>LEFT(I25,LEN("Nom"))="Nom"</formula>
    </cfRule>
  </conditionalFormatting>
  <conditionalFormatting sqref="I26">
    <cfRule type="containsText" dxfId="296" priority="13" operator="containsText" text="Nombre d'heures">
      <formula>NOT(ISERROR(SEARCH("Nombre d'heures",I26)))</formula>
    </cfRule>
  </conditionalFormatting>
  <conditionalFormatting sqref="I28">
    <cfRule type="containsText" dxfId="295" priority="58" operator="containsText" text="Nombre d'heures II">
      <formula>NOT(ISERROR(SEARCH("Nombre d'heures II",I28)))</formula>
    </cfRule>
  </conditionalFormatting>
  <conditionalFormatting sqref="I24:J24">
    <cfRule type="expression" dxfId="294" priority="61">
      <formula>$G$11="oui"</formula>
    </cfRule>
  </conditionalFormatting>
  <conditionalFormatting sqref="I25:J25">
    <cfRule type="expression" dxfId="293" priority="51">
      <formula>$P$10&gt;0.1</formula>
    </cfRule>
  </conditionalFormatting>
  <conditionalFormatting sqref="I50:J50">
    <cfRule type="expression" dxfId="292" priority="60">
      <formula>$G$11="ja"</formula>
    </cfRule>
  </conditionalFormatting>
  <conditionalFormatting sqref="J25">
    <cfRule type="beginsWith" dxfId="291" priority="49" operator="beginsWith" text="Anz">
      <formula>LEFT(J25,LEN("Anz"))="Anz"</formula>
    </cfRule>
  </conditionalFormatting>
  <conditionalFormatting sqref="J26">
    <cfRule type="containsText" dxfId="290" priority="12" operator="containsText" text="h">
      <formula>NOT(ISERROR(SEARCH("h",J26)))</formula>
    </cfRule>
  </conditionalFormatting>
  <conditionalFormatting sqref="J28">
    <cfRule type="containsText" dxfId="289" priority="53" operator="containsText" text="Std.">
      <formula>NOT(ISERROR(SEARCH("Std.",J28)))</formula>
    </cfRule>
    <cfRule type="containsText" dxfId="288" priority="54" operator="containsText" text="Std.">
      <formula>NOT(ISERROR(SEARCH("Std.",J28)))</formula>
    </cfRule>
    <cfRule type="containsText" dxfId="287" priority="55" operator="containsText" text="Std.">
      <formula>NOT(ISERROR(SEARCH("Std.",J28)))</formula>
    </cfRule>
  </conditionalFormatting>
  <conditionalFormatting sqref="K22:P22">
    <cfRule type="cellIs" dxfId="286" priority="21" operator="greaterThan">
      <formula>1</formula>
    </cfRule>
  </conditionalFormatting>
  <conditionalFormatting sqref="K26:P26">
    <cfRule type="expression" dxfId="285" priority="14">
      <formula>$G$12="oui"</formula>
    </cfRule>
    <cfRule type="expression" dxfId="284" priority="15">
      <formula>$C$16="Salaire horaire"</formula>
    </cfRule>
  </conditionalFormatting>
  <conditionalFormatting sqref="K50:P50">
    <cfRule type="expression" dxfId="283" priority="63">
      <formula>K51&gt;0.01</formula>
    </cfRule>
    <cfRule type="expression" dxfId="282" priority="64">
      <formula>K51&lt;-0.01</formula>
    </cfRule>
  </conditionalFormatting>
  <conditionalFormatting sqref="K51:P51">
    <cfRule type="cellIs" dxfId="281" priority="67" operator="lessThan">
      <formula>-0.04</formula>
    </cfRule>
    <cfRule type="cellIs" dxfId="280" priority="68" operator="greaterThan">
      <formula>0.04</formula>
    </cfRule>
  </conditionalFormatting>
  <conditionalFormatting sqref="L7">
    <cfRule type="expression" dxfId="279" priority="39">
      <formula>$C$16="à choisir"</formula>
    </cfRule>
  </conditionalFormatting>
  <conditionalFormatting sqref="L12">
    <cfRule type="expression" dxfId="278" priority="42">
      <formula>$G$10="oui"</formula>
    </cfRule>
  </conditionalFormatting>
  <conditionalFormatting sqref="M8">
    <cfRule type="expression" dxfId="277" priority="38">
      <formula>$C$16="Salaire horaire"</formula>
    </cfRule>
    <cfRule type="expression" dxfId="276" priority="37">
      <formula>$C$16="salaire mensuel"</formula>
    </cfRule>
  </conditionalFormatting>
  <conditionalFormatting sqref="M13">
    <cfRule type="expression" dxfId="275" priority="40">
      <formula>$G$10="oui"</formula>
    </cfRule>
  </conditionalFormatting>
  <conditionalFormatting sqref="P1">
    <cfRule type="containsText" dxfId="274" priority="116" operator="containsText" text="Achtung Fehler">
      <formula>NOT(ISERROR(SEARCH("Achtung Fehler",P1)))</formula>
    </cfRule>
  </conditionalFormatting>
  <conditionalFormatting sqref="P7">
    <cfRule type="expression" dxfId="273" priority="41">
      <formula>$Q$7="du Sal.horaire"</formula>
    </cfRule>
  </conditionalFormatting>
  <conditionalFormatting sqref="P10">
    <cfRule type="expression" dxfId="272" priority="43">
      <formula>$Q$10="heures"</formula>
    </cfRule>
  </conditionalFormatting>
  <conditionalFormatting sqref="Q64">
    <cfRule type="expression" dxfId="271" priority="26">
      <formula>$G$12="non"</formula>
    </cfRule>
  </conditionalFormatting>
  <conditionalFormatting sqref="S20">
    <cfRule type="beginsWith" dxfId="270" priority="5" operator="beginsWith" text="Vereinfachtes">
      <formula>LEFT(S20,LEN("Vereinfachtes"))="Vereinfachtes"</formula>
    </cfRule>
    <cfRule type="beginsWith" dxfId="269" priority="4" operator="beginsWith" text="Hinweis">
      <formula>LEFT(S20,LEN("Hinweis"))="Hinweis"</formula>
    </cfRule>
    <cfRule type="beginsWith" dxfId="268" priority="3" operator="beginsWith" text="ACHTUNG">
      <formula>LEFT(S20,LEN("ACHTUNG"))="ACHTUNG"</formula>
    </cfRule>
  </conditionalFormatting>
  <conditionalFormatting sqref="S24">
    <cfRule type="beginsWith" dxfId="267" priority="2" operator="beginsWith" text="ACHTUNG">
      <formula>LEFT(S24,LEN("ACHTUNG"))="ACHTUNG"</formula>
    </cfRule>
  </conditionalFormatting>
  <conditionalFormatting sqref="S28">
    <cfRule type="beginsWith" dxfId="266" priority="1" operator="beginsWith" text="ACHTUNG">
      <formula>LEFT(S28,LEN("ACHTUNG"))="ACHTUNG"</formula>
    </cfRule>
  </conditionalFormatting>
  <conditionalFormatting sqref="S36:S37">
    <cfRule type="beginsWith" dxfId="265" priority="6" operator="beginsWith" text="ACHTUNG">
      <formula>LEFT(S36,LEN("ACHTUNG"))="ACHTUNG"</formula>
    </cfRule>
  </conditionalFormatting>
  <conditionalFormatting sqref="W1:AJ10 W11:X12 Z11:AJ12">
    <cfRule type="expression" dxfId="264" priority="45">
      <formula>W1&lt;&gt;""</formula>
    </cfRule>
  </conditionalFormatting>
  <conditionalFormatting sqref="W13:AJ1048576">
    <cfRule type="expression" dxfId="263" priority="9">
      <formula>W13&lt;&gt;""</formula>
    </cfRule>
  </conditionalFormatting>
  <dataValidations count="7">
    <dataValidation type="list" allowBlank="1" showInputMessage="1" showErrorMessage="1" sqref="G13" xr:uid="{3D0DAD08-1E07-43FA-9113-1E85749C07FB}">
      <formula1>$Y$6:$Y$8</formula1>
    </dataValidation>
    <dataValidation type="list" allowBlank="1" showInputMessage="1" showErrorMessage="1" sqref="G11:G12" xr:uid="{5CE1D421-80D3-459B-9427-14209C4CF897}">
      <formula1>$AH$6:$AH$8</formula1>
    </dataValidation>
    <dataValidation type="list" allowBlank="1" showInputMessage="1" showErrorMessage="1" sqref="C16" xr:uid="{18AFC7EA-FC59-439A-B1FC-ACD79113B7FD}">
      <formula1>$X$11:$X$13</formula1>
    </dataValidation>
    <dataValidation type="list" allowBlank="1" showInputMessage="1" showErrorMessage="1" sqref="C10" xr:uid="{C69FB9D4-BA42-42C0-B41D-8C13C0B8C177}">
      <formula1>$X$6:$X$8</formula1>
    </dataValidation>
    <dataValidation type="list" allowBlank="1" showInputMessage="1" showErrorMessage="1" sqref="C17" xr:uid="{862998A0-56DC-426E-ADE4-EAEB892A25C1}">
      <formula1>$Y$11:$Y$12</formula1>
    </dataValidation>
    <dataValidation type="list" allowBlank="1" showInputMessage="1" showErrorMessage="1" sqref="G10" xr:uid="{59122B02-3C55-476F-973D-2CC4A2F6A29E}">
      <formula1>$AC$13:$AC$14</formula1>
    </dataValidation>
    <dataValidation type="list" allowBlank="1" showInputMessage="1" showErrorMessage="1" sqref="F9:G9" xr:uid="{56D7C520-956A-4507-9DA2-4B2CA35BE2A0}">
      <formula1>$AB$6:$AB$19</formula1>
    </dataValidation>
  </dataValidations>
  <hyperlinks>
    <hyperlink ref="P1:Q3" location="Fehler1" display="Fehler1" xr:uid="{FF908113-9EA3-4981-A98E-FB99F6154AF3}"/>
    <hyperlink ref="G1:H3" location="Fehler1" display="Fehler1" xr:uid="{1E82EA04-9548-4B7F-8B4A-77580D03D65F}"/>
  </hyperlinks>
  <pageMargins left="0.23622047244094491" right="0.23622047244094491" top="0.74803149606299213" bottom="0.74803149606299213" header="0.31496062992125984" footer="0.31496062992125984"/>
  <pageSetup paperSize="9" scale="81" fitToWidth="2" pageOrder="overThenDown" orientation="portrait" r:id="rId1"/>
  <headerFooter>
    <oddHeader>&amp;R&amp;"Arial,Standard"&amp;9Koordinationsstelle &amp;"MS Sans Serif,Standard"&amp;10
&amp;"Arial,Fett"&amp;9Berner Modell&amp;"Arial,Standard" - freie Lebensgestaltung von Menschen mit Behinderungen
HelpLine 031 300 33 70 / info@bernermodell.ch</oddHeader>
    <oddFooter>&amp;L&amp;"Arial,Standard"&amp;9Seite &amp;P von &amp;N&amp;R&amp;"Arial,Standard"&amp;9Lohnprogramm V10.0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BD"/>
    <pageSetUpPr fitToPage="1"/>
  </sheetPr>
  <dimension ref="A1:AK83"/>
  <sheetViews>
    <sheetView showGridLines="0" showZeros="0" zoomScaleNormal="100" workbookViewId="0">
      <selection activeCell="C6" sqref="C6:D6"/>
    </sheetView>
  </sheetViews>
  <sheetFormatPr baseColWidth="10" defaultColWidth="11.453125" defaultRowHeight="12.5" x14ac:dyDescent="0.25"/>
  <cols>
    <col min="1" max="1" width="20.81640625" style="1" customWidth="1"/>
    <col min="2" max="2" width="4.54296875" style="1" bestFit="1" customWidth="1"/>
    <col min="3" max="4" width="13.7265625" style="1" customWidth="1"/>
    <col min="5" max="5" width="14.54296875" style="1" customWidth="1"/>
    <col min="6" max="8" width="13.7265625" style="1" customWidth="1"/>
    <col min="9" max="9" width="21.1796875" style="1" customWidth="1"/>
    <col min="10" max="10" width="4.54296875" style="1" bestFit="1" customWidth="1"/>
    <col min="11" max="16" width="12.26953125" style="1" customWidth="1"/>
    <col min="17" max="17" width="14.26953125" style="1" bestFit="1" customWidth="1"/>
    <col min="18" max="18" width="5" style="1" customWidth="1"/>
    <col min="19" max="19" width="29" style="1" customWidth="1"/>
    <col min="20" max="20" width="21" style="1" customWidth="1"/>
    <col min="21" max="21" width="15.7265625" style="1" customWidth="1"/>
    <col min="22" max="22" width="8" style="1" customWidth="1"/>
    <col min="23" max="23" width="15.26953125" style="1" hidden="1" customWidth="1"/>
    <col min="24" max="31" width="15.26953125" style="68" hidden="1" customWidth="1"/>
    <col min="32" max="35" width="15.26953125" style="1" hidden="1" customWidth="1"/>
    <col min="36" max="37" width="15.26953125" style="1" customWidth="1"/>
    <col min="38" max="16384" width="11.453125" style="1"/>
  </cols>
  <sheetData>
    <row r="1" spans="1:35" ht="12.75" customHeight="1" x14ac:dyDescent="0.25">
      <c r="A1" s="474" t="str">
        <f>'PA 1'!A1:C1</f>
        <v>Nom/Prénom employeur</v>
      </c>
      <c r="B1" s="474"/>
      <c r="C1" s="474"/>
      <c r="D1" s="473" t="str">
        <f>"Programme de salaire "&amp;Grundlagen!$D$1</f>
        <v>Programme de salaire 2026</v>
      </c>
      <c r="E1" s="473"/>
      <c r="F1" s="473"/>
      <c r="G1" s="460" t="str">
        <f>IF($W45&gt;4,"Attention erreur!",IF($W$45&gt;0,"Attention remarque!",""))</f>
        <v/>
      </c>
      <c r="H1" s="460"/>
      <c r="I1" s="475" t="str">
        <f>A1</f>
        <v>Nom/Prénom employeur</v>
      </c>
      <c r="J1" s="475"/>
      <c r="K1" s="475"/>
      <c r="L1" s="473" t="str">
        <f>D1</f>
        <v>Programme de salaire 2026</v>
      </c>
      <c r="M1" s="473"/>
      <c r="N1" s="473"/>
      <c r="P1" s="460" t="str">
        <f>IF($W45&gt;4,"Attention erreur!",IF($W$45&gt;0,"Attention remarque!",""))</f>
        <v/>
      </c>
      <c r="Q1" s="460"/>
      <c r="S1" s="250" t="s">
        <v>55</v>
      </c>
      <c r="T1" s="264"/>
      <c r="U1" s="441" t="s">
        <v>56</v>
      </c>
      <c r="V1" s="442" t="s">
        <v>57</v>
      </c>
      <c r="W1" s="425"/>
      <c r="AE1" s="1"/>
    </row>
    <row r="2" spans="1:35" ht="12.75" customHeight="1" x14ac:dyDescent="0.25">
      <c r="A2" s="474" t="str">
        <f>'PA 1'!A2:C2</f>
        <v>Lieu employeur</v>
      </c>
      <c r="B2" s="474"/>
      <c r="C2" s="474"/>
      <c r="D2" s="473"/>
      <c r="E2" s="473"/>
      <c r="F2" s="473"/>
      <c r="G2" s="460"/>
      <c r="H2" s="460"/>
      <c r="I2" s="475" t="str">
        <f>A2</f>
        <v>Lieu employeur</v>
      </c>
      <c r="J2" s="475"/>
      <c r="K2" s="475"/>
      <c r="L2" s="473"/>
      <c r="M2" s="473"/>
      <c r="N2" s="473"/>
      <c r="P2" s="460"/>
      <c r="Q2" s="460"/>
      <c r="S2" s="253" t="s">
        <v>59</v>
      </c>
      <c r="T2" s="2"/>
      <c r="U2" s="225">
        <f>IF(C16="Salaire horaire",(M8*M7*52)+(M13*M12*52),(M8+Y13)*12)</f>
        <v>0</v>
      </c>
      <c r="V2" s="265"/>
      <c r="W2" s="425"/>
      <c r="Y2" s="478" t="s">
        <v>60</v>
      </c>
      <c r="AA2" s="478" t="str">
        <f>"Jahreslohn gesamt &gt; CHF "&amp;Grundlagen!$B$9</f>
        <v>Jahreslohn gesamt &gt; CHF 58800</v>
      </c>
      <c r="AE2" s="1"/>
    </row>
    <row r="3" spans="1:35" ht="5.15" customHeight="1" x14ac:dyDescent="0.25">
      <c r="G3" s="460"/>
      <c r="H3" s="460"/>
      <c r="P3" s="460"/>
      <c r="Q3" s="460"/>
      <c r="S3" s="258"/>
      <c r="V3" s="254"/>
      <c r="W3" s="425"/>
      <c r="Y3" s="478"/>
      <c r="AA3" s="478"/>
      <c r="AE3" s="1"/>
    </row>
    <row r="4" spans="1:35" ht="15" customHeight="1" thickBot="1" x14ac:dyDescent="0.35">
      <c r="A4" s="41" t="s">
        <v>61</v>
      </c>
      <c r="B4" s="41"/>
      <c r="C4" s="41"/>
      <c r="D4" s="41"/>
      <c r="E4" s="42"/>
      <c r="F4" s="42"/>
      <c r="G4" s="42"/>
      <c r="H4" s="51" t="str">
        <f>CONCATENATE($C$6," ",$C$7)</f>
        <v xml:space="preserve"> </v>
      </c>
      <c r="I4" s="440" t="s">
        <v>62</v>
      </c>
      <c r="J4" s="440"/>
      <c r="K4" s="440"/>
      <c r="L4" s="440"/>
      <c r="M4" s="42"/>
      <c r="N4" s="42"/>
      <c r="O4" s="42"/>
      <c r="P4" s="42"/>
      <c r="Q4" s="51" t="str">
        <f>CONCATENATE($C$6," ",$C$7)</f>
        <v xml:space="preserve"> </v>
      </c>
      <c r="S4" s="467" t="s">
        <v>63</v>
      </c>
      <c r="T4" s="468"/>
      <c r="U4" s="266">
        <f>((U2-(U2*SUM(T8:T14,T16,Y9)+(12*T15)))*Z14)</f>
        <v>0</v>
      </c>
      <c r="V4" s="267">
        <f>U4/365</f>
        <v>0</v>
      </c>
      <c r="W4" s="425"/>
      <c r="X4" s="476" t="s">
        <v>64</v>
      </c>
      <c r="Y4" s="478"/>
      <c r="Z4" s="476" t="s">
        <v>65</v>
      </c>
      <c r="AA4" s="478"/>
      <c r="AB4" s="479" t="s">
        <v>66</v>
      </c>
      <c r="AC4" s="480" t="s">
        <v>67</v>
      </c>
      <c r="AD4" s="477" t="s">
        <v>68</v>
      </c>
      <c r="AE4" s="1"/>
      <c r="AH4" s="476" t="s">
        <v>69</v>
      </c>
      <c r="AI4" s="476"/>
    </row>
    <row r="5" spans="1:35" ht="5.15" customHeight="1" x14ac:dyDescent="0.25">
      <c r="X5" s="476"/>
      <c r="Y5" s="478"/>
      <c r="Z5" s="476"/>
      <c r="AA5" s="478"/>
      <c r="AB5" s="479"/>
      <c r="AC5" s="480"/>
      <c r="AD5" s="477"/>
      <c r="AE5" s="2"/>
      <c r="AF5" s="4"/>
      <c r="AG5" s="48"/>
      <c r="AH5" s="476"/>
      <c r="AI5" s="476"/>
    </row>
    <row r="6" spans="1:35" s="2" customFormat="1" ht="13.5" thickBot="1" x14ac:dyDescent="0.35">
      <c r="A6" s="2" t="s">
        <v>70</v>
      </c>
      <c r="C6" s="466"/>
      <c r="D6" s="466"/>
      <c r="E6" s="2" t="s">
        <v>71</v>
      </c>
      <c r="F6" s="461"/>
      <c r="G6" s="466"/>
      <c r="I6" s="6" t="s">
        <v>72</v>
      </c>
      <c r="N6" s="6" t="str">
        <f>IF(AND(C16="Salaire horaire",G11="oui"),"Calcul de l'indemnité les heures de garde","")</f>
        <v/>
      </c>
      <c r="W6" s="426"/>
      <c r="X6" s="2" t="s">
        <v>73</v>
      </c>
      <c r="Y6" s="2" t="s">
        <v>73</v>
      </c>
      <c r="Z6" s="2" t="str">
        <f>IF(OR(G13="simplifiée",G13="à choisir"),"simplifiée","")</f>
        <v>simplifiée</v>
      </c>
      <c r="AA6" s="59" t="str">
        <f>IF('Attestation du salaire (simpl.)'!H43&lt;Grundlagen!$B$9,"non","oui")</f>
        <v>non</v>
      </c>
      <c r="AB6" s="232" t="s">
        <v>73</v>
      </c>
      <c r="AC6" s="59" t="str">
        <f>IF(OR(F9="Parents",F9="Enfant", F9="Grands-parents", F9="Petit-fils/fille", F9="Conjoint-e", F9="Partenariat enrégistré", F9="Concubin-e"),"oui","non")</f>
        <v>non</v>
      </c>
      <c r="AD6" s="59" t="e">
        <f>IF(C16="Salaire horaire",IF(OR(M8&lt;21.6,M8&gt;21.6),"non",IF(M13="","oui",IF(OR(M13&lt;21.6,M13&gt;21.6),"non","oui"))),IF(C17="non",IF(AD9=3930,"oui","non"),IF(AD10=3630,"oui","non")))</f>
        <v>#DIV/0!</v>
      </c>
      <c r="AF6" s="5" t="s">
        <v>74</v>
      </c>
      <c r="AG6" s="49"/>
      <c r="AH6" s="2" t="s">
        <v>73</v>
      </c>
    </row>
    <row r="7" spans="1:35" s="2" customFormat="1" ht="13" x14ac:dyDescent="0.3">
      <c r="A7" s="2" t="s">
        <v>75</v>
      </c>
      <c r="C7" s="466"/>
      <c r="D7" s="466"/>
      <c r="E7" s="2" t="s">
        <v>76</v>
      </c>
      <c r="F7" s="461"/>
      <c r="G7" s="461"/>
      <c r="I7" s="2" t="str">
        <f>IF(C16="Salaire horaire",IF(G10="oui","Taux d'occupation I","Taux d'occupation"),IF(C16="Salaire mensuel","Taux d'occupation",""))</f>
        <v/>
      </c>
      <c r="L7" s="380"/>
      <c r="M7" s="443">
        <f>42*L7</f>
        <v>0</v>
      </c>
      <c r="N7" s="2" t="str">
        <f>IF(AND(C16="Salaire horaire",G11="oui"),"1 heure de garde =","")</f>
        <v/>
      </c>
      <c r="P7" s="308"/>
      <c r="Q7" s="2" t="str">
        <f>IF(AND(C16="Salaire horaire",G11="oui"),"du Sal.horaire","")</f>
        <v/>
      </c>
      <c r="S7" s="250" t="s">
        <v>77</v>
      </c>
      <c r="T7" s="251" t="s">
        <v>78</v>
      </c>
      <c r="U7" s="252"/>
      <c r="W7" s="1"/>
      <c r="X7" s="2" t="s">
        <v>79</v>
      </c>
      <c r="Y7" s="2" t="s">
        <v>80</v>
      </c>
      <c r="Z7" s="59" t="str">
        <f>IF(OR(G13="ordinaire",G13="à choisir"),"ordinaire","")</f>
        <v>ordinaire</v>
      </c>
      <c r="AA7" s="59"/>
      <c r="AB7" s="59" t="s">
        <v>81</v>
      </c>
      <c r="AD7" s="59" t="e">
        <f>IF(C16="Salaire horaire",IF(OR(M8&lt;21.6,M8&gt;56.5),"non",IF(M13="","oui",IF(OR(M13&lt;21.6,M13&gt;56.5),"non","oui"))),IF(C17="non",IF(AD9&lt;3930,"non","oui"),IF(AD10&lt;3630,"non","oui")))</f>
        <v>#DIV/0!</v>
      </c>
      <c r="AF7" s="5" t="s">
        <v>82</v>
      </c>
      <c r="AG7" s="49">
        <v>0</v>
      </c>
      <c r="AH7" s="2" t="s">
        <v>83</v>
      </c>
    </row>
    <row r="8" spans="1:35" s="2" customFormat="1" ht="12" customHeight="1" x14ac:dyDescent="0.3">
      <c r="A8" s="2" t="s">
        <v>84</v>
      </c>
      <c r="C8" s="466"/>
      <c r="D8" s="466"/>
      <c r="E8" s="2" t="s">
        <v>85</v>
      </c>
      <c r="F8" s="466"/>
      <c r="G8" s="466"/>
      <c r="I8" s="5" t="str">
        <f>IF(AND($C$16="Salaire horaire",OR(H10="à choisir",G10="non")),"Salaire horaire (avec suppl. vacances)",IF(AND($C$16="Salaire horaire",$G$10="oui"),"Salaire horaire I (avec suppl. vacances)",IF(C16="Salaire mensuel","Salaire mensuel","")))</f>
        <v/>
      </c>
      <c r="L8" s="4">
        <v>0</v>
      </c>
      <c r="M8" s="249"/>
      <c r="S8" s="253" t="s">
        <v>86</v>
      </c>
      <c r="T8" s="255">
        <f>IF(F7="",0,IF(DATEDIF($F$7,$A$21,"Y")&lt;18,0,Grundlagen!$B$5))</f>
        <v>0</v>
      </c>
      <c r="U8" s="254"/>
      <c r="W8" s="427"/>
      <c r="X8" s="2" t="s">
        <v>87</v>
      </c>
      <c r="Y8" s="59" t="s">
        <v>88</v>
      </c>
      <c r="Z8" s="59"/>
      <c r="AB8" s="59" t="s">
        <v>89</v>
      </c>
      <c r="AD8" s="2" t="e">
        <f>IF(C16="Salaire horaire",IF(OR(M8&lt;21.6,M8&gt;56.5,M13&lt;21.6,M13&gt;56.5),"non","oui"),IF(C17="non",IF(AD9&lt;10290.1,"non","oui"),IF(AD10&lt;9500.1,"non","oui")))</f>
        <v>#DIV/0!</v>
      </c>
      <c r="AF8" s="5"/>
      <c r="AG8" s="49"/>
      <c r="AH8" s="2" t="s">
        <v>90</v>
      </c>
    </row>
    <row r="9" spans="1:35" s="2" customFormat="1" ht="13" x14ac:dyDescent="0.3">
      <c r="A9" s="2" t="s">
        <v>91</v>
      </c>
      <c r="C9" s="466"/>
      <c r="D9" s="466"/>
      <c r="E9" s="2" t="s">
        <v>92</v>
      </c>
      <c r="F9" s="469" t="s">
        <v>73</v>
      </c>
      <c r="G9" s="469"/>
      <c r="I9" s="4" t="str">
        <f>IF($C$16="Salaire horaire","Suppl. vacances","")</f>
        <v/>
      </c>
      <c r="K9" s="4" t="str">
        <f>IF($C$16="Salaire horaire",(IF(L9=8.33%,"4 semaines","5 semaines")),"")</f>
        <v/>
      </c>
      <c r="L9" s="48" t="str">
        <f>IF($C$16="Salaire horaire",(IF(OR((DATEDIF($F$7,$C$21,"Y")&lt;20),(DATEDIF($F$7,$C$21,"Y")&gt;49)),10.64%,8.33%)),"")</f>
        <v/>
      </c>
      <c r="M9" s="247" t="str">
        <f>IF($C$16="Salaire horaire",M8/(1+L9)*L9,"")</f>
        <v/>
      </c>
      <c r="N9" s="6" t="str">
        <f>IF(C16="Salaire horaire","Conversion des engagements de nuit en heures","")</f>
        <v/>
      </c>
      <c r="S9" s="253" t="s">
        <v>93</v>
      </c>
      <c r="T9" s="255">
        <f>IF(F7="",0,IF(DATEDIF($F$7,$A$21,"Y")&lt;18,0,IF($C$67="oui",0,Grundlagen!$B$6)))</f>
        <v>0</v>
      </c>
      <c r="U9" s="256"/>
      <c r="W9" s="428"/>
      <c r="Y9" s="75">
        <f>IF(G13="à choisir",0,IF(AND(Z6="simplifiée",'PA 2'!Z6="simplifiée",'PA 3'!Z6="simplifiée",'PA 4'!Z6="simplifiée",'PA 5'!Z6="simplifiée",'PA 6'!Z6="simplifiée",'PA 7'!Z6="simplifiée",'PA 8'!Z6="simplifiée",'PA 9'!Z6="simplifiée"),IF(DATEDIF($F$7,D21,"Y")&lt;17,0%,5%),0%))</f>
        <v>0</v>
      </c>
      <c r="Z9" s="59"/>
      <c r="AB9" s="59" t="s">
        <v>94</v>
      </c>
      <c r="AD9" s="59" t="e">
        <f>ROUND(M8/L7,0)</f>
        <v>#DIV/0!</v>
      </c>
      <c r="AF9" s="5"/>
      <c r="AG9" s="49"/>
    </row>
    <row r="10" spans="1:35" s="2" customFormat="1" ht="13" x14ac:dyDescent="0.3">
      <c r="A10" s="2" t="s">
        <v>95</v>
      </c>
      <c r="C10" s="378" t="s">
        <v>73</v>
      </c>
      <c r="E10" s="2" t="str">
        <f>IF(C16="Salaire horaire","Avez-vous 2 différents sal. horaire?","")</f>
        <v/>
      </c>
      <c r="G10" s="391"/>
      <c r="H10" s="176" t="str">
        <f>IF(G10&gt;1,"",IF(C16="Salaire horaire","à choisir",""))</f>
        <v/>
      </c>
      <c r="I10" s="5" t="str">
        <f>IF(AND($C$16="Salaire horaire",OR(H10="à choisir",G10="non")),"Salaire horaire (sans Suppl. vacances)",IF(AND($C$16="Salaire horaire",$G$10="oui"),"Salaire horaire I (sans Suppl. vacances)",""))</f>
        <v/>
      </c>
      <c r="M10" s="248" t="str">
        <f>IF($C$16="Salaire horaire",M8-M9,"")</f>
        <v/>
      </c>
      <c r="N10" s="2" t="str">
        <f>IF(C16="Salaire horaire","1 nuit correspond à","")</f>
        <v/>
      </c>
      <c r="P10" s="268"/>
      <c r="Q10" s="2" t="str">
        <f>IF(C16="Salaire horaire","heures","")</f>
        <v/>
      </c>
      <c r="S10" s="253"/>
      <c r="T10" s="255"/>
      <c r="U10" s="256"/>
      <c r="W10" s="1"/>
      <c r="X10" s="6" t="s">
        <v>96</v>
      </c>
      <c r="Y10" s="6" t="s">
        <v>97</v>
      </c>
      <c r="Z10" s="64" t="s">
        <v>98</v>
      </c>
      <c r="AB10" s="59" t="s">
        <v>99</v>
      </c>
      <c r="AD10" s="59" t="e">
        <f>ROUND(M8/L7,0)</f>
        <v>#DIV/0!</v>
      </c>
    </row>
    <row r="11" spans="1:35" s="2" customFormat="1" ht="13.5" customHeight="1" x14ac:dyDescent="0.3">
      <c r="A11" s="2" t="s">
        <v>100</v>
      </c>
      <c r="C11" s="378"/>
      <c r="E11" s="2" t="s">
        <v>101</v>
      </c>
      <c r="G11" s="381" t="s">
        <v>73</v>
      </c>
      <c r="S11" s="253" t="s">
        <v>102</v>
      </c>
      <c r="T11" s="387"/>
      <c r="U11" s="257" t="s">
        <v>103</v>
      </c>
      <c r="W11" s="1"/>
      <c r="X11" s="2" t="s">
        <v>73</v>
      </c>
      <c r="Y11" s="2" t="str">
        <f>IF(C16="Salaire mensuel","oui","")</f>
        <v/>
      </c>
      <c r="Z11" s="188">
        <f>IF(G13="simplifiée",126.8%,0)</f>
        <v>0</v>
      </c>
      <c r="AB11" s="59" t="s">
        <v>104</v>
      </c>
      <c r="AD11" s="59"/>
    </row>
    <row r="12" spans="1:35" s="2" customFormat="1" ht="13.5" customHeight="1" x14ac:dyDescent="0.3">
      <c r="A12" s="2" t="s">
        <v>105</v>
      </c>
      <c r="C12" s="378"/>
      <c r="E12" s="2" t="s">
        <v>106</v>
      </c>
      <c r="G12" s="381" t="s">
        <v>73</v>
      </c>
      <c r="I12" s="2" t="str">
        <f>IF(G10="oui","Taux d'occupation II","")</f>
        <v/>
      </c>
      <c r="L12" s="224"/>
      <c r="M12" s="246">
        <f>42*L12</f>
        <v>0</v>
      </c>
      <c r="S12" s="253"/>
      <c r="T12" s="1"/>
      <c r="U12" s="254"/>
      <c r="W12" s="1"/>
      <c r="X12" s="2" t="s">
        <v>107</v>
      </c>
      <c r="Y12" s="2" t="str">
        <f>IF(C16="Salaire mensuel","non","")</f>
        <v/>
      </c>
      <c r="Z12" s="188">
        <f>IF(AND(G13="ordinaire",T15=0,T16=0),119.9%,0)</f>
        <v>0</v>
      </c>
      <c r="AA12" s="59"/>
      <c r="AB12" s="59" t="s">
        <v>108</v>
      </c>
      <c r="AC12" s="64" t="s">
        <v>109</v>
      </c>
      <c r="AD12" s="59"/>
    </row>
    <row r="13" spans="1:35" s="2" customFormat="1" ht="12.75" customHeight="1" x14ac:dyDescent="0.3">
      <c r="A13" s="2" t="s">
        <v>110</v>
      </c>
      <c r="C13" s="378"/>
      <c r="E13" s="2" t="s">
        <v>111</v>
      </c>
      <c r="G13" s="381" t="s">
        <v>73</v>
      </c>
      <c r="I13" s="5" t="str">
        <f>IF(G10="oui","Salaire horaire II (avec Suppl. vacances)","")</f>
        <v/>
      </c>
      <c r="L13" s="4"/>
      <c r="M13" s="249"/>
      <c r="S13" s="253" t="s">
        <v>112</v>
      </c>
      <c r="T13" s="388"/>
      <c r="U13" s="257" t="s">
        <v>103</v>
      </c>
      <c r="W13" s="425"/>
      <c r="X13" s="2" t="s">
        <v>113</v>
      </c>
      <c r="Y13" s="2">
        <f>IF(C17="oui",M8/12,0)</f>
        <v>0</v>
      </c>
      <c r="Z13" s="188">
        <f>IF(OR(T15&gt;0,T16&gt;0),129.2%,0)</f>
        <v>0</v>
      </c>
      <c r="AA13" s="59"/>
      <c r="AB13" s="59" t="s">
        <v>114</v>
      </c>
      <c r="AC13" s="59" t="s">
        <v>83</v>
      </c>
      <c r="AD13" s="59"/>
    </row>
    <row r="14" spans="1:35" s="2" customFormat="1" ht="12.75" customHeight="1" x14ac:dyDescent="0.3">
      <c r="A14" s="2" t="s">
        <v>115</v>
      </c>
      <c r="C14" s="379"/>
      <c r="E14" s="2" t="s">
        <v>116</v>
      </c>
      <c r="F14" s="466"/>
      <c r="G14" s="466"/>
      <c r="I14" s="4" t="str">
        <f>IF(G10="oui","Suppl. vacances","")</f>
        <v/>
      </c>
      <c r="K14" s="4" t="str">
        <f>IF($G$10="oui",(IF(L14=8.33%,"4 semaines","5 semaines")),"")</f>
        <v/>
      </c>
      <c r="L14" s="48" t="str">
        <f>IF(G10="oui",(IF(OR((DATEDIF($F$7,$C$21,"Y")&lt;20),(DATEDIF($F$7,$C$21,"Y")&gt;49)),10.64%,8.33%)),"")</f>
        <v/>
      </c>
      <c r="M14" s="247" t="str">
        <f>IF(G10="oui",M13/(1+L14)*L14,"")</f>
        <v/>
      </c>
      <c r="S14" s="258"/>
      <c r="T14" s="1"/>
      <c r="U14" s="254"/>
      <c r="W14" s="425"/>
      <c r="Y14" s="157">
        <f>M8</f>
        <v>0</v>
      </c>
      <c r="Z14" s="188">
        <f>SUM(Z11:Z13)</f>
        <v>0</v>
      </c>
      <c r="AA14" s="59"/>
      <c r="AB14" s="58" t="s">
        <v>117</v>
      </c>
      <c r="AC14" s="59" t="s">
        <v>90</v>
      </c>
      <c r="AD14" s="59"/>
    </row>
    <row r="15" spans="1:35" s="2" customFormat="1" ht="12.75" customHeight="1" x14ac:dyDescent="0.3">
      <c r="A15" s="2" t="s">
        <v>118</v>
      </c>
      <c r="C15" s="379"/>
      <c r="E15" s="2" t="s">
        <v>119</v>
      </c>
      <c r="F15" s="466"/>
      <c r="G15" s="466"/>
      <c r="I15" s="5" t="str">
        <f>IF(G10="oui","Salaire horaire II (sans Suppl. vacances)","")</f>
        <v/>
      </c>
      <c r="M15" s="248" t="str">
        <f>IF(G10="oui",M13-M14,"")</f>
        <v/>
      </c>
      <c r="S15" s="253" t="s">
        <v>120</v>
      </c>
      <c r="T15" s="389"/>
      <c r="U15" s="259" t="s">
        <v>121</v>
      </c>
      <c r="W15" s="1"/>
      <c r="Y15" s="2">
        <f>SUM(Y13:Y14)</f>
        <v>0</v>
      </c>
      <c r="Z15" s="59"/>
      <c r="AA15" s="59"/>
      <c r="AB15" s="59" t="s">
        <v>122</v>
      </c>
      <c r="AD15" s="59"/>
    </row>
    <row r="16" spans="1:35" s="2" customFormat="1" ht="12.75" customHeight="1" thickBot="1" x14ac:dyDescent="0.35">
      <c r="A16" s="2" t="s">
        <v>123</v>
      </c>
      <c r="C16" s="378" t="s">
        <v>73</v>
      </c>
      <c r="E16" s="2" t="s">
        <v>124</v>
      </c>
      <c r="F16" s="466"/>
      <c r="G16" s="466"/>
      <c r="S16" s="260" t="s">
        <v>125</v>
      </c>
      <c r="T16" s="390"/>
      <c r="U16" s="261" t="s">
        <v>126</v>
      </c>
      <c r="W16" s="1"/>
      <c r="Z16" s="59"/>
      <c r="AA16" s="59"/>
      <c r="AB16" s="58" t="s">
        <v>127</v>
      </c>
      <c r="AC16" s="59"/>
      <c r="AD16" s="59"/>
    </row>
    <row r="17" spans="1:37" s="2" customFormat="1" ht="12.75" customHeight="1" thickBot="1" x14ac:dyDescent="0.35">
      <c r="A17" s="2" t="str">
        <f>IF(C16="Salaire mensuel","13ème salaire","")</f>
        <v/>
      </c>
      <c r="C17" s="329"/>
      <c r="D17" s="176" t="str">
        <f>IF(C17&gt;1,"",IF(A17="13ème salaire","à choisir",""))</f>
        <v/>
      </c>
      <c r="E17" s="422" t="s">
        <v>128</v>
      </c>
      <c r="F17" s="423" t="str">
        <f>IF($F$7="","",IF($C$10="masculin",DATE(YEAR($F$7)+65,MONTH($F$7)+1,1),IF($C$10="féminin",DATE(YEAR($F$7)+64,MONTH($F$7)+1+VLOOKUP(YEAR($F$7),Grundlagen!$F$1:$G$26,2,TRUE),1),"")))</f>
        <v/>
      </c>
      <c r="H17" s="175"/>
      <c r="W17" s="1"/>
      <c r="X17" s="59"/>
      <c r="Y17" s="59"/>
      <c r="Z17" s="59"/>
      <c r="AA17" s="59"/>
      <c r="AB17" s="59" t="s">
        <v>129</v>
      </c>
      <c r="AC17" s="59"/>
      <c r="AD17" s="59"/>
    </row>
    <row r="18" spans="1:37" s="2" customFormat="1" ht="12" customHeight="1" x14ac:dyDescent="0.3">
      <c r="H18" s="175"/>
      <c r="M18" s="175"/>
      <c r="S18" s="484" t="s">
        <v>130</v>
      </c>
      <c r="T18" s="485"/>
      <c r="U18" s="486"/>
      <c r="V18" s="340"/>
      <c r="X18" s="158"/>
      <c r="Y18" s="159"/>
      <c r="Z18" s="59"/>
      <c r="AA18" s="59"/>
      <c r="AB18" s="59" t="s">
        <v>131</v>
      </c>
      <c r="AC18" s="59"/>
      <c r="AD18" s="59"/>
      <c r="AE18" s="59"/>
    </row>
    <row r="19" spans="1:37" s="2" customFormat="1" ht="14" x14ac:dyDescent="0.3">
      <c r="A19" s="41" t="s">
        <v>132</v>
      </c>
      <c r="B19" s="41"/>
      <c r="C19" s="52"/>
      <c r="D19" s="52"/>
      <c r="E19" s="52"/>
      <c r="F19" s="52"/>
      <c r="G19" s="52"/>
      <c r="H19" s="52"/>
      <c r="I19" s="41" t="str">
        <f>$A$19</f>
        <v>Décompte de salaire</v>
      </c>
      <c r="J19" s="41"/>
      <c r="K19" s="52"/>
      <c r="L19" s="52"/>
      <c r="M19" s="52"/>
      <c r="N19" s="52"/>
      <c r="O19" s="52"/>
      <c r="P19" s="52"/>
      <c r="Q19" s="52"/>
      <c r="S19" s="262"/>
      <c r="U19" s="263"/>
      <c r="X19" s="158"/>
      <c r="Y19" s="159"/>
      <c r="Z19" s="59"/>
      <c r="AA19" s="59"/>
      <c r="AB19" s="59" t="s">
        <v>133</v>
      </c>
      <c r="AC19" s="59"/>
      <c r="AD19" s="59"/>
      <c r="AE19" s="59"/>
    </row>
    <row r="20" spans="1:37" s="2" customFormat="1" ht="5.15" customHeight="1" thickBot="1" x14ac:dyDescent="0.3">
      <c r="C20" s="80"/>
      <c r="D20" s="81"/>
      <c r="E20" s="5"/>
      <c r="F20" s="5"/>
      <c r="G20" s="5"/>
      <c r="H20" s="49"/>
      <c r="I20" s="49"/>
      <c r="K20" s="49"/>
      <c r="S20" s="481">
        <f>IF(F7="",0,IF(OR(G13="ordinaire",G13="à choisir"),0,(IF(G13="simplifiée",IF(OR($F$9="Conjoint-e",$F$9="Enfant",$F$9="Partenariat enrégistré"),"Ni la conjointe ou le conjoint de l’employeur ni ses enfants ne peuvent utiliser la procédure de décompte AVS simplifiée.",IF(OR(Q38+Q39&gt;Grundlagen!$B$8-0.01,U2&gt;Grundlagen!$B$8-0.01),"La procédure de décompte simplifiée ne peut pas être appliquée si le salaire annuel est supérieur à CHF"&amp;Grundlagen!$B$8&amp;"!",IF(AA6="oui","La procédure de décompte simplifiée ne peut pas être appliquée si la masse salariale totale est supérieure à CHF "&amp;Grundlagen!$B$9&amp;"!",IF(DATEDIF($F$7,$A$21,"Y")&lt;19,0,IF(G13="ordinaire",0,0)))))))))</f>
        <v>0</v>
      </c>
      <c r="T20" s="482"/>
      <c r="U20" s="483"/>
      <c r="V20" s="370"/>
      <c r="X20" s="158"/>
      <c r="Y20" s="159"/>
      <c r="Z20" s="59"/>
      <c r="AA20" s="59"/>
      <c r="AB20" s="59"/>
      <c r="AD20" s="59"/>
      <c r="AE20" s="59"/>
    </row>
    <row r="21" spans="1:37" s="2" customFormat="1" ht="15" customHeight="1" x14ac:dyDescent="0.25">
      <c r="A21" s="310">
        <f>Grundlagen!$C$1</f>
        <v>46387</v>
      </c>
      <c r="B21" s="269"/>
      <c r="C21" s="82">
        <f>Grundlagen!$B$1</f>
        <v>46023</v>
      </c>
      <c r="D21" s="82">
        <f>DATE(YEAR(C21),MONTH(C21)+1,1)</f>
        <v>46054</v>
      </c>
      <c r="E21" s="82">
        <f t="shared" ref="E21:H21" si="0">DATE(YEAR(D21),MONTH(D21)+1,1)</f>
        <v>46082</v>
      </c>
      <c r="F21" s="82">
        <f t="shared" si="0"/>
        <v>46113</v>
      </c>
      <c r="G21" s="82">
        <f t="shared" si="0"/>
        <v>46143</v>
      </c>
      <c r="H21" s="69">
        <f t="shared" si="0"/>
        <v>46174</v>
      </c>
      <c r="I21" s="310">
        <f t="shared" ref="I21:I22" si="1">A21</f>
        <v>46387</v>
      </c>
      <c r="J21" s="269"/>
      <c r="K21" s="82">
        <f>DATE(YEAR(H21),MONTH(H21)+1,1)</f>
        <v>46204</v>
      </c>
      <c r="L21" s="82">
        <f>DATE(YEAR(K21),MONTH(K21)+1,1)</f>
        <v>46235</v>
      </c>
      <c r="M21" s="82">
        <f t="shared" ref="M21:P21" si="2">DATE(YEAR(L21),MONTH(L21)+1,1)</f>
        <v>46266</v>
      </c>
      <c r="N21" s="82">
        <f t="shared" si="2"/>
        <v>46296</v>
      </c>
      <c r="O21" s="82">
        <f t="shared" si="2"/>
        <v>46327</v>
      </c>
      <c r="P21" s="69">
        <f t="shared" si="2"/>
        <v>46357</v>
      </c>
      <c r="Q21" s="97" t="s">
        <v>134</v>
      </c>
      <c r="S21" s="481"/>
      <c r="T21" s="482"/>
      <c r="U21" s="483"/>
      <c r="V21" s="370"/>
      <c r="W21" s="2">
        <f>IF(S20=0,0,5)</f>
        <v>0</v>
      </c>
      <c r="X21" s="158"/>
      <c r="Y21" s="159"/>
      <c r="Z21" s="59"/>
      <c r="AA21" s="59"/>
      <c r="AB21" s="59"/>
      <c r="AC21" s="59"/>
      <c r="AD21" s="59"/>
      <c r="AE21" s="59"/>
    </row>
    <row r="22" spans="1:37" s="2" customFormat="1" ht="15" customHeight="1" x14ac:dyDescent="0.25">
      <c r="A22" s="311" t="str">
        <f>IF($C$16="Salaire horaire","",IF(C16="à choisir","","Salaire mensuel"))</f>
        <v/>
      </c>
      <c r="B22" s="270" t="str">
        <f>IF(A22="Salaire mensuel","CHF"," ")</f>
        <v xml:space="preserve"> </v>
      </c>
      <c r="C22" s="286">
        <f t="shared" ref="C22:H22" si="3">IF(OR($C$16="Salaire horaire",$C$16="à choisir"),0,IF($C$16="Salaire mensuel",(IF(OR(MONTH(IF($C$14&lt;$C$21,$C$21,$C$14))&gt;MONTH(C21),MONTH(IF($C$15="",$A$21,$C$15))&lt;MONTH(C21)),0,$M$8))))</f>
        <v>0</v>
      </c>
      <c r="D22" s="286">
        <f t="shared" si="3"/>
        <v>0</v>
      </c>
      <c r="E22" s="286">
        <f t="shared" si="3"/>
        <v>0</v>
      </c>
      <c r="F22" s="286">
        <f t="shared" si="3"/>
        <v>0</v>
      </c>
      <c r="G22" s="286">
        <f t="shared" si="3"/>
        <v>0</v>
      </c>
      <c r="H22" s="287">
        <f t="shared" si="3"/>
        <v>0</v>
      </c>
      <c r="I22" s="312" t="str">
        <f t="shared" si="1"/>
        <v/>
      </c>
      <c r="J22" s="270" t="str">
        <f>IF(I22="Salaire mensuel","CHF"," ")</f>
        <v xml:space="preserve"> </v>
      </c>
      <c r="K22" s="286">
        <f t="shared" ref="K22:P22" si="4">IF(OR($C$16="Salaire horaire",$C$16="à choisir"),0,IF($C$16="Salaire mensuel",(IF(OR(MONTH(IF($C$14&lt;$C$21,$C$21,$C$14))&gt;MONTH(K21),MONTH(IF($C$15="",$A$21,$C$15))&lt;MONTH(K21)),0,$M$8))))</f>
        <v>0</v>
      </c>
      <c r="L22" s="286">
        <f t="shared" si="4"/>
        <v>0</v>
      </c>
      <c r="M22" s="286">
        <f t="shared" si="4"/>
        <v>0</v>
      </c>
      <c r="N22" s="286">
        <f t="shared" si="4"/>
        <v>0</v>
      </c>
      <c r="O22" s="286">
        <f t="shared" si="4"/>
        <v>0</v>
      </c>
      <c r="P22" s="287">
        <f t="shared" si="4"/>
        <v>0</v>
      </c>
      <c r="Q22" s="302">
        <f t="shared" ref="Q22" si="5">ROUND((SUM(C22:H22)+SUM(K22:P22))*20,0)/20</f>
        <v>0</v>
      </c>
      <c r="S22" s="481"/>
      <c r="T22" s="482"/>
      <c r="U22" s="483"/>
      <c r="V22" s="370"/>
      <c r="X22" s="158"/>
      <c r="Y22" s="159"/>
      <c r="Z22" s="59"/>
      <c r="AA22" s="59"/>
      <c r="AB22" s="59"/>
      <c r="AC22" s="59"/>
      <c r="AD22" s="59"/>
      <c r="AE22" s="59"/>
    </row>
    <row r="23" spans="1:37" s="2" customFormat="1" ht="15" customHeight="1" x14ac:dyDescent="0.25">
      <c r="A23" s="311" t="str">
        <f>IF($C$16="Salaire horaire","",(IF($C$17="oui","13. Salaire mensuel","")))</f>
        <v/>
      </c>
      <c r="B23" s="270" t="str">
        <f>IF(A23="13. Salaire mensuel","CHF"," ")</f>
        <v xml:space="preserve"> </v>
      </c>
      <c r="C23" s="286">
        <f t="shared" ref="C23:H23" si="6">IF(OR($C$16="Salaire horaire",$C$16="à choisir"),0,(IF($C$17="oui",(C$22+C32+C33)/12,"")))</f>
        <v>0</v>
      </c>
      <c r="D23" s="288">
        <f t="shared" si="6"/>
        <v>0</v>
      </c>
      <c r="E23" s="288">
        <f t="shared" si="6"/>
        <v>0</v>
      </c>
      <c r="F23" s="288">
        <f t="shared" si="6"/>
        <v>0</v>
      </c>
      <c r="G23" s="288">
        <f t="shared" si="6"/>
        <v>0</v>
      </c>
      <c r="H23" s="287">
        <f t="shared" si="6"/>
        <v>0</v>
      </c>
      <c r="I23" s="312" t="str">
        <f t="shared" ref="I23:I52" si="7">A23</f>
        <v/>
      </c>
      <c r="J23" s="270" t="str">
        <f>IF(I23="13. Salaire mensuel","CHF"," ")</f>
        <v xml:space="preserve"> </v>
      </c>
      <c r="K23" s="288">
        <f t="shared" ref="K23:P23" si="8">IF(OR($C$16="Salaire horaire",$C$16="à choisir"),0,(IF($C$17="oui",(K$22+K32+K33)/12,"")))</f>
        <v>0</v>
      </c>
      <c r="L23" s="288">
        <f t="shared" si="8"/>
        <v>0</v>
      </c>
      <c r="M23" s="288">
        <f t="shared" si="8"/>
        <v>0</v>
      </c>
      <c r="N23" s="303">
        <f t="shared" si="8"/>
        <v>0</v>
      </c>
      <c r="O23" s="288">
        <f t="shared" si="8"/>
        <v>0</v>
      </c>
      <c r="P23" s="287">
        <f t="shared" si="8"/>
        <v>0</v>
      </c>
      <c r="Q23" s="240">
        <f t="shared" ref="Q23:Q37" si="9">ROUND((SUM(C23:H23)+SUM(K23:P23))*20,0)/20</f>
        <v>0</v>
      </c>
      <c r="S23" s="262"/>
      <c r="U23" s="263"/>
      <c r="Y23" s="58"/>
      <c r="Z23" s="58"/>
      <c r="AA23" s="58"/>
      <c r="AB23" s="58"/>
      <c r="AC23" s="58"/>
      <c r="AD23" s="58"/>
      <c r="AE23" s="58"/>
      <c r="AF23" s="58"/>
    </row>
    <row r="24" spans="1:37" s="2" customFormat="1" ht="15" customHeight="1" x14ac:dyDescent="0.25">
      <c r="A24" s="444" t="str">
        <f>IF(G11="oui","Nombre d'heures 
de garde","")</f>
        <v/>
      </c>
      <c r="B24" s="447" t="str">
        <f>IF(A24="Nombre d'heures 
de garde","h"," ")</f>
        <v xml:space="preserve"> </v>
      </c>
      <c r="C24" s="288"/>
      <c r="D24" s="288"/>
      <c r="E24" s="288"/>
      <c r="F24" s="288"/>
      <c r="G24" s="288"/>
      <c r="H24" s="287"/>
      <c r="I24" s="311" t="str">
        <f t="shared" si="7"/>
        <v/>
      </c>
      <c r="J24" s="330" t="str">
        <f>B24</f>
        <v xml:space="preserve"> </v>
      </c>
      <c r="K24" s="288"/>
      <c r="L24" s="288"/>
      <c r="M24" s="288"/>
      <c r="N24" s="288"/>
      <c r="O24" s="288"/>
      <c r="P24" s="287"/>
      <c r="Q24" s="304">
        <f t="shared" si="9"/>
        <v>0</v>
      </c>
      <c r="S24" s="481">
        <f>IF(OR(AND(Z6="simplifiée",'PA 2'!Z6="simplifiée",'PA 3'!Z6="simplifiée",'PA 4'!Z6="simplifiée",'PA 5'!Z6="simplifiée",'PA 6'!Z6="simplifiée",'PA 7'!Z6="simplifiée",'PA 8'!Z6="simplifiée",'PA 9'!Z6="simplifiée"),(AND(Z7="ordinaire",'PA 2'!Z7="ordinaire",'PA 3'!Z7="ordinaire",'PA 4'!Z7="ordinaire",'PA 5'!Z7="ordinaire",'PA 6'!Z7="ordinaire",'PA 7'!Z7="ordinaire",'PA 8'!Z7="ordinaire",'PA 9'!Z7="ordinaire"))),0,"ATTENTION: la même procédure de décompte AVS doit être utilisée pour tous les prestataires d’assistance!")</f>
        <v>0</v>
      </c>
      <c r="T24" s="482"/>
      <c r="U24" s="483"/>
      <c r="V24" s="370"/>
      <c r="Y24" s="58"/>
      <c r="Z24" s="58"/>
      <c r="AA24" s="58"/>
      <c r="AB24" s="58"/>
      <c r="AC24" s="58"/>
      <c r="AD24" s="58"/>
      <c r="AE24" s="58"/>
      <c r="AF24" s="58"/>
    </row>
    <row r="25" spans="1:37" s="6" customFormat="1" ht="13" x14ac:dyDescent="0.3">
      <c r="A25" s="450" t="str">
        <f>IF(AND(C16="Salaire mensuel",G12="oui"),"Nombre d'engagements de nuit",IF(P10&gt;0.1,"Nombre d'engagements de nuit",""))</f>
        <v/>
      </c>
      <c r="B25" s="270" t="str">
        <f>IF(A25="Nombre d'engagements de nuit","Nb."," ")</f>
        <v xml:space="preserve"> </v>
      </c>
      <c r="C25" s="289"/>
      <c r="D25" s="289"/>
      <c r="E25" s="289"/>
      <c r="F25" s="289"/>
      <c r="G25" s="289"/>
      <c r="H25" s="290"/>
      <c r="I25" s="450" t="str">
        <f t="shared" si="7"/>
        <v/>
      </c>
      <c r="J25" s="270" t="str">
        <f>B25</f>
        <v xml:space="preserve"> </v>
      </c>
      <c r="K25" s="289"/>
      <c r="L25" s="289"/>
      <c r="M25" s="289"/>
      <c r="N25" s="289"/>
      <c r="O25" s="289"/>
      <c r="P25" s="305"/>
      <c r="Q25" s="302">
        <f t="shared" si="9"/>
        <v>0</v>
      </c>
      <c r="R25" s="76"/>
      <c r="S25" s="481"/>
      <c r="T25" s="482"/>
      <c r="U25" s="483"/>
      <c r="V25" s="370"/>
      <c r="W25" s="2">
        <f>IF(S24&gt;1,5,0)</f>
        <v>0</v>
      </c>
      <c r="X25" s="102"/>
      <c r="Y25" s="99"/>
      <c r="Z25" s="100"/>
      <c r="AA25" s="77"/>
      <c r="AB25" s="77"/>
      <c r="AC25" s="77"/>
      <c r="AD25" s="77"/>
      <c r="AE25" s="77"/>
      <c r="AF25" s="77"/>
    </row>
    <row r="26" spans="1:37" s="6" customFormat="1" ht="15" customHeight="1" x14ac:dyDescent="0.3">
      <c r="A26" s="312" t="str">
        <f>IF(AND($C$16="Salaire mensuel",$G$12="oui"),"Nombre d'heures",IF(C16="Salaire horaire",IF(G10="oui","Nombre d'heures I","Nombre d'heures"),""))</f>
        <v/>
      </c>
      <c r="B26" s="271" t="str">
        <f>IF(OR(A26="Nombre d'heures Standard",A26="Nombre d'heures",A26="Nombre d'heures I"),"h"," ")</f>
        <v xml:space="preserve"> </v>
      </c>
      <c r="C26" s="288"/>
      <c r="D26" s="288"/>
      <c r="E26" s="288"/>
      <c r="F26" s="288"/>
      <c r="G26" s="288"/>
      <c r="H26" s="287"/>
      <c r="I26" s="312" t="str">
        <f t="shared" si="7"/>
        <v/>
      </c>
      <c r="J26" s="271" t="str">
        <f>IF(OR(I26="Nombre d'heures Standard",I26="Nombre d'heures",I26="Nombre d'heures I"),"h"," ")</f>
        <v xml:space="preserve"> </v>
      </c>
      <c r="K26" s="288"/>
      <c r="L26" s="288"/>
      <c r="M26" s="288"/>
      <c r="N26" s="288"/>
      <c r="O26" s="288"/>
      <c r="P26" s="287"/>
      <c r="Q26" s="304">
        <f t="shared" si="9"/>
        <v>0</v>
      </c>
      <c r="R26" s="76"/>
      <c r="S26" s="481"/>
      <c r="T26" s="482"/>
      <c r="U26" s="483"/>
      <c r="V26" s="370"/>
      <c r="W26" s="76"/>
      <c r="X26" s="102"/>
      <c r="Y26" s="99"/>
      <c r="Z26" s="59"/>
      <c r="AA26" s="77"/>
      <c r="AB26" s="77"/>
      <c r="AC26" s="77"/>
      <c r="AD26" s="77"/>
      <c r="AE26" s="77"/>
      <c r="AF26" s="77"/>
    </row>
    <row r="27" spans="1:37" s="6" customFormat="1" ht="15" customHeight="1" x14ac:dyDescent="0.3">
      <c r="A27" s="312" t="str">
        <f>IF($C$16="Salaire horaire",IF(G10="oui","Salaire horaire I","Salaire horaire"),"")</f>
        <v/>
      </c>
      <c r="B27" s="270" t="str">
        <f>IF(OR(A27="Salaire horaire Standard",A27="Salaire horaire",A27="Salaire horaire I"),"CHF"," ")</f>
        <v xml:space="preserve"> </v>
      </c>
      <c r="C27" s="237" t="str">
        <f t="shared" ref="C27:H27" si="10">IF($C$16="Salaire horaire",(IF(OR((DATEDIF($F$7,C21,"Y")&lt;20),(DATEDIF($F$7,C21,"Y")&gt;49)),$M$8/110.64%*(C26+C24*$P$7+C25*$P$10),$M$8/108.33%*(C26+C24*$P$7+C25*$P$10))),"")</f>
        <v/>
      </c>
      <c r="D27" s="237" t="str">
        <f t="shared" si="10"/>
        <v/>
      </c>
      <c r="E27" s="237" t="str">
        <f t="shared" si="10"/>
        <v/>
      </c>
      <c r="F27" s="237" t="str">
        <f t="shared" si="10"/>
        <v/>
      </c>
      <c r="G27" s="237" t="str">
        <f t="shared" si="10"/>
        <v/>
      </c>
      <c r="H27" s="238" t="str">
        <f t="shared" si="10"/>
        <v/>
      </c>
      <c r="I27" s="312" t="str">
        <f t="shared" si="7"/>
        <v/>
      </c>
      <c r="J27" s="270" t="str">
        <f>IF(OR(I27="Salaire horaire Standard",I27="Salaire horaire",I27="Salaire horaire I"),"CHF"," ")</f>
        <v xml:space="preserve"> </v>
      </c>
      <c r="K27" s="237" t="str">
        <f t="shared" ref="K27:P27" si="11">IF($C$16="Salaire horaire",(IF(OR((DATEDIF($F$7,K21,"Y")&lt;20),(DATEDIF($F$7,K21,"Y")&gt;49)),$M$8/110.64%*(K26+K24*$P$7+K25*$P$10),$M$8/108.33%*(K26+K24*$P$7+K25*$P$10))),"")</f>
        <v/>
      </c>
      <c r="L27" s="237" t="str">
        <f t="shared" si="11"/>
        <v/>
      </c>
      <c r="M27" s="237" t="str">
        <f t="shared" si="11"/>
        <v/>
      </c>
      <c r="N27" s="237" t="str">
        <f t="shared" si="11"/>
        <v/>
      </c>
      <c r="O27" s="237" t="str">
        <f t="shared" si="11"/>
        <v/>
      </c>
      <c r="P27" s="238" t="str">
        <f t="shared" si="11"/>
        <v/>
      </c>
      <c r="Q27" s="304">
        <f t="shared" si="9"/>
        <v>0</v>
      </c>
      <c r="R27" s="76"/>
      <c r="S27" s="262"/>
      <c r="T27" s="2"/>
      <c r="U27" s="263"/>
      <c r="V27" s="2"/>
      <c r="W27" s="76"/>
      <c r="X27" s="102"/>
      <c r="Y27" s="99"/>
      <c r="Z27" s="59"/>
      <c r="AA27" s="77"/>
      <c r="AB27" s="77"/>
      <c r="AC27" s="77"/>
      <c r="AD27" s="77"/>
      <c r="AE27" s="77"/>
      <c r="AF27" s="77"/>
    </row>
    <row r="28" spans="1:37" s="2" customFormat="1" ht="15" customHeight="1" x14ac:dyDescent="0.25">
      <c r="A28" s="312" t="str">
        <f>IF(G10="oui","Nombre d'heures II","")</f>
        <v/>
      </c>
      <c r="B28" s="271" t="str">
        <f>IF(OR(A28="Nombre d'heures Quali B",A28="Nombre d'heures II"),"h"," ")</f>
        <v xml:space="preserve"> </v>
      </c>
      <c r="C28" s="288"/>
      <c r="D28" s="288"/>
      <c r="E28" s="288"/>
      <c r="F28" s="288"/>
      <c r="G28" s="288"/>
      <c r="H28" s="287"/>
      <c r="I28" s="312" t="str">
        <f t="shared" si="7"/>
        <v/>
      </c>
      <c r="J28" s="271" t="str">
        <f>IF(OR(I28="Nombre d'heures Quali B",I28="Nombre d'heures II"),"h"," ")</f>
        <v xml:space="preserve"> </v>
      </c>
      <c r="K28" s="288"/>
      <c r="L28" s="288"/>
      <c r="M28" s="288"/>
      <c r="N28" s="303"/>
      <c r="O28" s="288"/>
      <c r="P28" s="287"/>
      <c r="Q28" s="304">
        <f t="shared" si="9"/>
        <v>0</v>
      </c>
      <c r="R28" s="78"/>
      <c r="S28" s="481">
        <f>IF(AND(AC6="oui",(G12="oui")),"ATTENTION: le salaire des proches ne doit pas ètre réglé avec la contribution d'assistance d l'AI",0)</f>
        <v>0</v>
      </c>
      <c r="T28" s="482"/>
      <c r="U28" s="483"/>
      <c r="V28" s="370"/>
      <c r="W28" s="78"/>
      <c r="X28" s="101"/>
      <c r="Y28" s="98"/>
    </row>
    <row r="29" spans="1:37" s="6" customFormat="1" ht="15" customHeight="1" x14ac:dyDescent="0.25">
      <c r="A29" s="312" t="str">
        <f>IF(G10="oui","Salaire horaire II","")</f>
        <v/>
      </c>
      <c r="B29" s="270" t="str">
        <f>IF(OR(A29="Salaire horaire Quali B",A29="Salaire horaire II"),"CHF"," ")</f>
        <v xml:space="preserve"> </v>
      </c>
      <c r="C29" s="237" t="str">
        <f t="shared" ref="C29:H29" si="12">IF($C$16="Salaire horaire",(IF(OR((DATEDIF($F$7,C21,"Y")&lt;20),(DATEDIF($F$7,C21,"Y")&gt;49)),$M$13/110.64%*(C28),$M$13/108.33%*(C28))),"")</f>
        <v/>
      </c>
      <c r="D29" s="237" t="str">
        <f t="shared" si="12"/>
        <v/>
      </c>
      <c r="E29" s="237" t="str">
        <f t="shared" si="12"/>
        <v/>
      </c>
      <c r="F29" s="237" t="str">
        <f t="shared" si="12"/>
        <v/>
      </c>
      <c r="G29" s="237" t="str">
        <f t="shared" si="12"/>
        <v/>
      </c>
      <c r="H29" s="238" t="str">
        <f t="shared" si="12"/>
        <v/>
      </c>
      <c r="I29" s="312" t="str">
        <f t="shared" si="7"/>
        <v/>
      </c>
      <c r="J29" s="270" t="str">
        <f>IF(OR(I29="Salaire horaire Quali B",I29="Salaire horaire II"),"CHF"," ")</f>
        <v xml:space="preserve"> </v>
      </c>
      <c r="K29" s="237" t="str">
        <f t="shared" ref="K29:P29" si="13">IF($C$16="Salaire horaire",(IF(OR((DATEDIF($F$7,K21,"Y")&lt;20),(DATEDIF($F$7,K21,"Y")&gt;49)),$M$13/110.64%*(K28),$M$13/108.33%*(K28))),"")</f>
        <v/>
      </c>
      <c r="L29" s="237" t="str">
        <f t="shared" si="13"/>
        <v/>
      </c>
      <c r="M29" s="237" t="str">
        <f t="shared" si="13"/>
        <v/>
      </c>
      <c r="N29" s="237" t="str">
        <f t="shared" si="13"/>
        <v/>
      </c>
      <c r="O29" s="237" t="str">
        <f t="shared" si="13"/>
        <v/>
      </c>
      <c r="P29" s="238" t="str">
        <f t="shared" si="13"/>
        <v/>
      </c>
      <c r="Q29" s="304">
        <f t="shared" si="9"/>
        <v>0</v>
      </c>
      <c r="R29" s="65"/>
      <c r="S29" s="481"/>
      <c r="T29" s="482"/>
      <c r="U29" s="483"/>
      <c r="V29" s="370"/>
      <c r="W29" s="2">
        <f>IF(S28&gt;1,5,0)</f>
        <v>0</v>
      </c>
      <c r="X29" s="103"/>
      <c r="Y29" s="98"/>
      <c r="Z29" s="59"/>
      <c r="AA29" s="59"/>
      <c r="AB29" s="59"/>
      <c r="AC29" s="59"/>
      <c r="AD29" s="59"/>
      <c r="AE29" s="59"/>
      <c r="AF29" s="59"/>
    </row>
    <row r="30" spans="1:37" s="6" customFormat="1" ht="15" customHeight="1" x14ac:dyDescent="0.25">
      <c r="A30" s="312" t="str">
        <f>IF($C$16="Salaire horaire","Supplément de vacances","")</f>
        <v/>
      </c>
      <c r="B30" s="270" t="str">
        <f>IF(A30="Supplément de vacances","CHF"," ")</f>
        <v xml:space="preserve"> </v>
      </c>
      <c r="C30" s="237">
        <f t="shared" ref="C30:H30" si="14">IF($C$16="Salaire horaire",(ROUND(IF(OR((DATEDIF($F$7,C$21,"Y")&lt;20),(DATEDIF($F$7,C$21,"Y")&gt;49)),(C$27+C$29)*10.64%,(C$27+C$29)*8.33%),2)),)</f>
        <v>0</v>
      </c>
      <c r="D30" s="237">
        <f t="shared" si="14"/>
        <v>0</v>
      </c>
      <c r="E30" s="237">
        <f t="shared" si="14"/>
        <v>0</v>
      </c>
      <c r="F30" s="237">
        <f t="shared" si="14"/>
        <v>0</v>
      </c>
      <c r="G30" s="237">
        <f t="shared" si="14"/>
        <v>0</v>
      </c>
      <c r="H30" s="238">
        <f t="shared" si="14"/>
        <v>0</v>
      </c>
      <c r="I30" s="312" t="str">
        <f t="shared" si="7"/>
        <v/>
      </c>
      <c r="J30" s="270" t="str">
        <f>IF(I30="Ferienzuschlag","CHF"," ")</f>
        <v xml:space="preserve"> </v>
      </c>
      <c r="K30" s="237">
        <f t="shared" ref="K30:P30" si="15">IF($C$16="Salaire horaire",(ROUND(IF(OR((DATEDIF($F$7,K$21,"Y")&lt;20),(DATEDIF($F$7,K$21,"Y")&gt;49)),(K$27+K$29)*10.64%,(K$27+K$29)*8.33%),2)),)</f>
        <v>0</v>
      </c>
      <c r="L30" s="237">
        <f t="shared" si="15"/>
        <v>0</v>
      </c>
      <c r="M30" s="237">
        <f t="shared" si="15"/>
        <v>0</v>
      </c>
      <c r="N30" s="237">
        <f t="shared" si="15"/>
        <v>0</v>
      </c>
      <c r="O30" s="237">
        <f t="shared" si="15"/>
        <v>0</v>
      </c>
      <c r="P30" s="238">
        <f t="shared" si="15"/>
        <v>0</v>
      </c>
      <c r="Q30" s="304">
        <f t="shared" si="9"/>
        <v>0</v>
      </c>
      <c r="R30" s="65"/>
      <c r="S30" s="481"/>
      <c r="T30" s="482"/>
      <c r="U30" s="483"/>
      <c r="V30" s="370"/>
      <c r="W30" s="65"/>
      <c r="X30" s="103"/>
      <c r="Y30" s="98"/>
      <c r="Z30" s="59"/>
      <c r="AA30" s="59"/>
      <c r="AB30" s="59"/>
      <c r="AC30" s="59"/>
      <c r="AD30" s="59"/>
      <c r="AE30" s="59"/>
      <c r="AF30" s="59"/>
    </row>
    <row r="31" spans="1:37" s="6" customFormat="1" x14ac:dyDescent="0.25">
      <c r="A31" s="313" t="s">
        <v>135</v>
      </c>
      <c r="B31" s="271" t="s">
        <v>136</v>
      </c>
      <c r="C31" s="382"/>
      <c r="D31" s="384"/>
      <c r="E31" s="384"/>
      <c r="F31" s="384"/>
      <c r="G31" s="384"/>
      <c r="H31" s="383"/>
      <c r="I31" s="313" t="str">
        <f t="shared" si="7"/>
        <v>Repas &amp; logement</v>
      </c>
      <c r="J31" s="271" t="s">
        <v>136</v>
      </c>
      <c r="K31" s="382"/>
      <c r="L31" s="382"/>
      <c r="M31" s="382"/>
      <c r="N31" s="382"/>
      <c r="O31" s="382"/>
      <c r="P31" s="383"/>
      <c r="Q31" s="83">
        <f t="shared" si="9"/>
        <v>0</v>
      </c>
      <c r="R31" s="65"/>
      <c r="S31" s="470">
        <f>IF(AND(M7+M13&gt;8,T11=0),"Remarque: à partir de 8 heures de travail effectives par semaine, l’employé doit avoir souscrit une assurance-accidents non professionnels!",0)</f>
        <v>0</v>
      </c>
      <c r="T31" s="471"/>
      <c r="U31" s="472"/>
      <c r="V31" s="369"/>
      <c r="W31" s="2"/>
      <c r="X31" s="103"/>
      <c r="Y31" s="98"/>
      <c r="Z31" s="59"/>
      <c r="AA31" s="59"/>
      <c r="AB31" s="59"/>
      <c r="AC31" s="59"/>
      <c r="AD31" s="59"/>
      <c r="AE31" s="59"/>
      <c r="AF31" s="59"/>
    </row>
    <row r="32" spans="1:37" s="6" customFormat="1" ht="34.5" x14ac:dyDescent="0.25">
      <c r="A32" s="313" t="s">
        <v>137</v>
      </c>
      <c r="B32" s="272" t="s">
        <v>136</v>
      </c>
      <c r="C32" s="382"/>
      <c r="D32" s="384"/>
      <c r="E32" s="384"/>
      <c r="F32" s="384"/>
      <c r="G32" s="384"/>
      <c r="H32" s="385"/>
      <c r="I32" s="313" t="str">
        <f t="shared" si="7"/>
        <v>Oblig. de verser le salaire (art. 324a CO) (soumis à l'AVS)</v>
      </c>
      <c r="J32" s="272" t="s">
        <v>136</v>
      </c>
      <c r="K32" s="384"/>
      <c r="L32" s="384"/>
      <c r="M32" s="384"/>
      <c r="N32" s="386"/>
      <c r="O32" s="384"/>
      <c r="P32" s="385"/>
      <c r="Q32" s="70">
        <f t="shared" si="9"/>
        <v>0</v>
      </c>
      <c r="R32" s="65"/>
      <c r="S32" s="470"/>
      <c r="T32" s="471"/>
      <c r="U32" s="472"/>
      <c r="V32" s="369"/>
      <c r="W32" s="2">
        <f>IF(S31&gt;1,1,0)</f>
        <v>0</v>
      </c>
      <c r="X32" s="103"/>
      <c r="Y32" s="98"/>
      <c r="Z32" s="59"/>
      <c r="AA32" s="59"/>
      <c r="AB32" s="59"/>
      <c r="AC32" s="59"/>
      <c r="AD32" s="59"/>
      <c r="AE32" s="59"/>
      <c r="AF32" s="59"/>
      <c r="AK32" s="104"/>
    </row>
    <row r="33" spans="1:37" s="6" customFormat="1" ht="23" x14ac:dyDescent="0.25">
      <c r="A33" s="313" t="s">
        <v>138</v>
      </c>
      <c r="B33" s="272" t="s">
        <v>136</v>
      </c>
      <c r="C33" s="382"/>
      <c r="D33" s="384"/>
      <c r="E33" s="384"/>
      <c r="F33" s="384"/>
      <c r="G33" s="384"/>
      <c r="H33" s="385"/>
      <c r="I33" s="313" t="str">
        <f t="shared" si="7"/>
        <v>Oblig. de verser le salaire
(soumis à l'AVS)</v>
      </c>
      <c r="J33" s="272" t="s">
        <v>136</v>
      </c>
      <c r="K33" s="384"/>
      <c r="L33" s="384"/>
      <c r="M33" s="384"/>
      <c r="N33" s="386"/>
      <c r="O33" s="384"/>
      <c r="P33" s="385"/>
      <c r="Q33" s="70">
        <f t="shared" si="9"/>
        <v>0</v>
      </c>
      <c r="R33" s="65"/>
      <c r="S33" s="470">
        <f>IF(DATEDIF($F$7,C21,"Y")&lt;17,0,IF($C$67="oui",0,IF(AND(U2&gt;Grundlagen!$B$8-0.01,SUM(T15:T16)=0),"Remarque: si le salaire annuel brut AVS dépasse " &amp; Grundlagen!$B$8 &amp;" la personne doit être impérativement assurée auprès d’une institution de prévoyance professionnelle!",0)))</f>
        <v>0</v>
      </c>
      <c r="T33" s="471"/>
      <c r="U33" s="472"/>
      <c r="V33" s="369"/>
      <c r="W33" s="65"/>
      <c r="X33" s="103"/>
      <c r="Y33" s="98"/>
      <c r="Z33" s="59"/>
      <c r="AA33" s="59"/>
      <c r="AB33" s="59"/>
      <c r="AC33" s="59"/>
      <c r="AD33" s="59"/>
      <c r="AE33" s="59"/>
      <c r="AF33" s="59"/>
      <c r="AK33" s="104"/>
    </row>
    <row r="34" spans="1:37" s="6" customFormat="1" ht="23" x14ac:dyDescent="0.25">
      <c r="A34" s="314" t="s">
        <v>139</v>
      </c>
      <c r="B34" s="273" t="s">
        <v>136</v>
      </c>
      <c r="C34" s="382"/>
      <c r="D34" s="384"/>
      <c r="E34" s="384"/>
      <c r="F34" s="384"/>
      <c r="G34" s="384"/>
      <c r="H34" s="385"/>
      <c r="I34" s="314" t="str">
        <f t="shared" si="7"/>
        <v>Allocation maternité / militaire (soumis à l'AVS)</v>
      </c>
      <c r="J34" s="273" t="s">
        <v>136</v>
      </c>
      <c r="K34" s="384"/>
      <c r="L34" s="384"/>
      <c r="M34" s="384"/>
      <c r="N34" s="386"/>
      <c r="O34" s="384"/>
      <c r="P34" s="385"/>
      <c r="Q34" s="70">
        <f t="shared" si="9"/>
        <v>0</v>
      </c>
      <c r="R34" s="57"/>
      <c r="S34" s="470"/>
      <c r="T34" s="471"/>
      <c r="U34" s="472"/>
      <c r="V34" s="369"/>
      <c r="W34" s="2">
        <f>IF(S33&gt;1,1,0)</f>
        <v>0</v>
      </c>
      <c r="X34" s="101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</row>
    <row r="35" spans="1:37" s="2" customFormat="1" ht="23" x14ac:dyDescent="0.25">
      <c r="A35" s="314" t="s">
        <v>140</v>
      </c>
      <c r="B35" s="273" t="s">
        <v>136</v>
      </c>
      <c r="C35" s="382"/>
      <c r="D35" s="384"/>
      <c r="E35" s="384"/>
      <c r="F35" s="384"/>
      <c r="G35" s="384"/>
      <c r="H35" s="385"/>
      <c r="I35" s="314" t="str">
        <f t="shared" si="7"/>
        <v>Indemnité d'assurance
(non soumis AVS)</v>
      </c>
      <c r="J35" s="273" t="s">
        <v>136</v>
      </c>
      <c r="K35" s="384"/>
      <c r="L35" s="384"/>
      <c r="M35" s="384"/>
      <c r="N35" s="386"/>
      <c r="O35" s="384"/>
      <c r="P35" s="385"/>
      <c r="Q35" s="70">
        <f t="shared" si="9"/>
        <v>0</v>
      </c>
      <c r="R35" s="57"/>
      <c r="S35" s="470"/>
      <c r="T35" s="471"/>
      <c r="U35" s="472"/>
      <c r="V35" s="369"/>
      <c r="W35" s="57"/>
      <c r="X35" s="101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</row>
    <row r="36" spans="1:37" s="2" customFormat="1" ht="15" customHeight="1" x14ac:dyDescent="0.25">
      <c r="A36" s="312" t="s">
        <v>141</v>
      </c>
      <c r="B36" s="271" t="s">
        <v>136</v>
      </c>
      <c r="C36" s="382"/>
      <c r="D36" s="384"/>
      <c r="E36" s="384"/>
      <c r="F36" s="384"/>
      <c r="G36" s="384"/>
      <c r="H36" s="385"/>
      <c r="I36" s="312" t="str">
        <f t="shared" si="7"/>
        <v>Allocations familiales</v>
      </c>
      <c r="J36" s="271" t="s">
        <v>136</v>
      </c>
      <c r="K36" s="384"/>
      <c r="L36" s="384"/>
      <c r="M36" s="384"/>
      <c r="N36" s="386"/>
      <c r="O36" s="384"/>
      <c r="P36" s="385"/>
      <c r="Q36" s="70">
        <f t="shared" si="9"/>
        <v>0</v>
      </c>
      <c r="R36" s="57"/>
      <c r="S36" s="470">
        <f>IF(M8="",0,IF($C$16="Salaire horaire",(IF(AC6="non",IF(AND(AC6="non",AD7="oui"),0,"ATTENTION: le modèle bernois reconnaît un salaire horaire minimum de CHF 21.60 et maximum de CHF 56.50 pour les personnes autres que les proches."),IF(AND(AC6="oui",AD6="oui"),0,"ATTENTION: le modèle bernois reconnaît un salaire horaire minimum de CHF 21.60 pour les proches."))),(IF(AC6="non",IF(AND(AC6="non",AD7="oui"),(IF(AD8="oui","ATTENTION: pour les personnes autres que les proches, le modèle bernois reconnaît un salaire mensuel maximum de CHF 9'500 + 13e salaire ou de CHF 10'290 sans 13e salaire. Veuillez contrôler le taux d’occupation.",0)),"ATTENTION: pour les personnes autres que les proches, le modèle bernois reconnaît un salaire mensuel minimum de CHF 3'630 + 13e salaire ou de CHF 3'930 sans 13e salaire. Veuillez contrôler le taux d’occupation."),IF(AND(AC6="oui",AD6="oui"),0,"ATTENTION: pour les proches, le modèle bernois reconnaît un salaire mensuel de CHF 3'630 + 13e salaire ou de CHF 3'930 sans 13e salaire. Veuillez contrôler le taux d’occupation.")))))</f>
        <v>0</v>
      </c>
      <c r="T36" s="471"/>
      <c r="U36" s="472"/>
      <c r="V36" s="369"/>
      <c r="W36" s="57"/>
      <c r="X36" s="105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</row>
    <row r="37" spans="1:37" s="2" customFormat="1" ht="15" customHeight="1" x14ac:dyDescent="0.25">
      <c r="A37" s="315" t="s">
        <v>142</v>
      </c>
      <c r="B37" s="274" t="s">
        <v>136</v>
      </c>
      <c r="C37" s="291">
        <f t="shared" ref="C37:H37" si="16">MROUND(IF($C$16="Salaire horaire",SUM(C27,C29,C30,C31,C32,C33,C34,C35,C36),SUM(C22,C23,C30,C31,C32,C33,C34,C35,C36)),0.05)</f>
        <v>0</v>
      </c>
      <c r="D37" s="291">
        <f t="shared" si="16"/>
        <v>0</v>
      </c>
      <c r="E37" s="291">
        <f t="shared" si="16"/>
        <v>0</v>
      </c>
      <c r="F37" s="291">
        <f t="shared" si="16"/>
        <v>0</v>
      </c>
      <c r="G37" s="291">
        <f t="shared" si="16"/>
        <v>0</v>
      </c>
      <c r="H37" s="242">
        <f t="shared" si="16"/>
        <v>0</v>
      </c>
      <c r="I37" s="315" t="str">
        <f t="shared" si="7"/>
        <v>Salaire brut</v>
      </c>
      <c r="J37" s="274" t="s">
        <v>136</v>
      </c>
      <c r="K37" s="291">
        <f t="shared" ref="K37:P37" si="17">MROUND(IF($C$16="Salaire horaire",SUM(K27,K29,K30,K31,K32,K33,K34,K35,K36),SUM(K22,K23,K30,K31,K32,K33,K34,K35,K36)),0.05)</f>
        <v>0</v>
      </c>
      <c r="L37" s="291">
        <f t="shared" si="17"/>
        <v>0</v>
      </c>
      <c r="M37" s="291">
        <f t="shared" si="17"/>
        <v>0</v>
      </c>
      <c r="N37" s="291">
        <f t="shared" si="17"/>
        <v>0</v>
      </c>
      <c r="O37" s="291">
        <f t="shared" si="17"/>
        <v>0</v>
      </c>
      <c r="P37" s="242">
        <f t="shared" si="17"/>
        <v>0</v>
      </c>
      <c r="Q37" s="242">
        <f t="shared" si="9"/>
        <v>0</v>
      </c>
      <c r="R37" s="57"/>
      <c r="S37" s="470"/>
      <c r="T37" s="471"/>
      <c r="U37" s="472"/>
      <c r="V37" s="369"/>
      <c r="W37" s="2">
        <f>IF(S36&gt;1,5,0)</f>
        <v>0</v>
      </c>
      <c r="X37" s="101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</row>
    <row r="38" spans="1:37" s="2" customFormat="1" ht="15" customHeight="1" x14ac:dyDescent="0.25">
      <c r="A38" s="312" t="s">
        <v>143</v>
      </c>
      <c r="B38" s="275" t="s">
        <v>136</v>
      </c>
      <c r="C38" s="404">
        <f>C$80</f>
        <v>0</v>
      </c>
      <c r="D38" s="404">
        <f t="shared" ref="D38:H38" si="18">D$80</f>
        <v>0</v>
      </c>
      <c r="E38" s="404">
        <f t="shared" si="18"/>
        <v>0</v>
      </c>
      <c r="F38" s="404">
        <f t="shared" si="18"/>
        <v>0</v>
      </c>
      <c r="G38" s="404">
        <f t="shared" si="18"/>
        <v>0</v>
      </c>
      <c r="H38" s="405">
        <f t="shared" si="18"/>
        <v>0</v>
      </c>
      <c r="I38" s="312" t="str">
        <f t="shared" si="7"/>
        <v>Franchise rentier AVS</v>
      </c>
      <c r="J38" s="275" t="s">
        <v>136</v>
      </c>
      <c r="K38" s="404">
        <f>K$80</f>
        <v>0</v>
      </c>
      <c r="L38" s="404">
        <f t="shared" ref="L38:P38" si="19">L$80</f>
        <v>0</v>
      </c>
      <c r="M38" s="404">
        <f t="shared" si="19"/>
        <v>0</v>
      </c>
      <c r="N38" s="404">
        <f t="shared" si="19"/>
        <v>0</v>
      </c>
      <c r="O38" s="404">
        <f t="shared" si="19"/>
        <v>0</v>
      </c>
      <c r="P38" s="405">
        <f t="shared" si="19"/>
        <v>0</v>
      </c>
      <c r="Q38" s="307">
        <f>SUM(C38:H38)+SUM(K38:P38)</f>
        <v>0</v>
      </c>
      <c r="R38" s="57"/>
      <c r="S38" s="470"/>
      <c r="T38" s="471"/>
      <c r="U38" s="472"/>
      <c r="V38" s="369"/>
      <c r="W38" s="57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</row>
    <row r="39" spans="1:37" s="6" customFormat="1" ht="15" customHeight="1" x14ac:dyDescent="0.25">
      <c r="A39" s="315" t="s">
        <v>144</v>
      </c>
      <c r="B39" s="274" t="s">
        <v>136</v>
      </c>
      <c r="C39" s="291">
        <f>C37-C36-C35-C38</f>
        <v>0</v>
      </c>
      <c r="D39" s="291">
        <f t="shared" ref="D39:H39" si="20">D37-D36-D35-D38</f>
        <v>0</v>
      </c>
      <c r="E39" s="291">
        <f t="shared" si="20"/>
        <v>0</v>
      </c>
      <c r="F39" s="291">
        <f t="shared" si="20"/>
        <v>0</v>
      </c>
      <c r="G39" s="291">
        <f t="shared" si="20"/>
        <v>0</v>
      </c>
      <c r="H39" s="242">
        <f t="shared" si="20"/>
        <v>0</v>
      </c>
      <c r="I39" s="315" t="str">
        <f t="shared" si="7"/>
        <v>AVS montant brut</v>
      </c>
      <c r="J39" s="274" t="s">
        <v>136</v>
      </c>
      <c r="K39" s="291">
        <f t="shared" ref="K39:P39" si="21">K37-K36-K35-K38</f>
        <v>0</v>
      </c>
      <c r="L39" s="291">
        <f t="shared" si="21"/>
        <v>0</v>
      </c>
      <c r="M39" s="291">
        <f t="shared" si="21"/>
        <v>0</v>
      </c>
      <c r="N39" s="306">
        <f t="shared" si="21"/>
        <v>0</v>
      </c>
      <c r="O39" s="291">
        <f t="shared" si="21"/>
        <v>0</v>
      </c>
      <c r="P39" s="242">
        <f t="shared" si="21"/>
        <v>0</v>
      </c>
      <c r="Q39" s="242">
        <f>ROUND((SUM(C39:H39)+SUM(K39:P39))*20,0)/20</f>
        <v>0</v>
      </c>
      <c r="R39" s="79"/>
      <c r="S39" s="470"/>
      <c r="T39" s="471"/>
      <c r="U39" s="472"/>
      <c r="V39" s="369"/>
      <c r="W39" s="79"/>
      <c r="X39" s="2"/>
      <c r="Y39" s="106"/>
      <c r="Z39" s="106"/>
      <c r="AA39" s="106"/>
      <c r="AB39" s="106"/>
      <c r="AC39" s="106"/>
      <c r="AD39" s="106"/>
      <c r="AE39" s="64"/>
      <c r="AF39" s="64"/>
    </row>
    <row r="40" spans="1:37" s="2" customFormat="1" ht="15" customHeight="1" thickBot="1" x14ac:dyDescent="0.3">
      <c r="A40" s="312" t="str">
        <f>CONCATENATE("AVS/AI/APG ",T8*100,"%")</f>
        <v>AVS/AI/APG 0%</v>
      </c>
      <c r="B40" s="276" t="s">
        <v>136</v>
      </c>
      <c r="C40" s="234">
        <f>C$39*-$T$8</f>
        <v>0</v>
      </c>
      <c r="D40" s="234">
        <f t="shared" ref="D40:H40" si="22">D$39*-$T$8</f>
        <v>0</v>
      </c>
      <c r="E40" s="234">
        <f t="shared" si="22"/>
        <v>0</v>
      </c>
      <c r="F40" s="234">
        <f t="shared" si="22"/>
        <v>0</v>
      </c>
      <c r="G40" s="234">
        <f t="shared" si="22"/>
        <v>0</v>
      </c>
      <c r="H40" s="235">
        <f t="shared" si="22"/>
        <v>0</v>
      </c>
      <c r="I40" s="327" t="str">
        <f t="shared" si="7"/>
        <v>AVS/AI/APG 0%</v>
      </c>
      <c r="J40" s="276" t="s">
        <v>136</v>
      </c>
      <c r="K40" s="234">
        <f t="shared" ref="K40:P40" si="23">K$39*-$T$8</f>
        <v>0</v>
      </c>
      <c r="L40" s="234">
        <f t="shared" si="23"/>
        <v>0</v>
      </c>
      <c r="M40" s="234">
        <f t="shared" si="23"/>
        <v>0</v>
      </c>
      <c r="N40" s="236">
        <f t="shared" si="23"/>
        <v>0</v>
      </c>
      <c r="O40" s="234">
        <f t="shared" si="23"/>
        <v>0</v>
      </c>
      <c r="P40" s="235">
        <f t="shared" si="23"/>
        <v>0</v>
      </c>
      <c r="Q40" s="239">
        <f t="shared" ref="Q40:Q48" si="24">ROUND((SUM(C40:H40)+SUM(K40:P40))*20,0)/20</f>
        <v>0</v>
      </c>
      <c r="R40" s="65"/>
      <c r="S40" s="470"/>
      <c r="T40" s="471"/>
      <c r="U40" s="472"/>
      <c r="V40" s="369"/>
      <c r="W40" s="65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</row>
    <row r="41" spans="1:37" s="6" customFormat="1" ht="15" customHeight="1" x14ac:dyDescent="0.25">
      <c r="A41" s="312" t="str">
        <f>CONCATENATE("AC ",T9*100,"%")</f>
        <v>AC 0%</v>
      </c>
      <c r="B41" s="271" t="s">
        <v>136</v>
      </c>
      <c r="C41" s="237">
        <f>IF(C$38&lt;&gt;0,0,C$39*$T$9*-1)</f>
        <v>0</v>
      </c>
      <c r="D41" s="237">
        <f t="shared" ref="D41:H41" si="25">IF(D$38&lt;&gt;0,0,D$39*$T$9*-1)</f>
        <v>0</v>
      </c>
      <c r="E41" s="237">
        <f t="shared" si="25"/>
        <v>0</v>
      </c>
      <c r="F41" s="237">
        <f t="shared" si="25"/>
        <v>0</v>
      </c>
      <c r="G41" s="237">
        <f t="shared" si="25"/>
        <v>0</v>
      </c>
      <c r="H41" s="238">
        <f t="shared" si="25"/>
        <v>0</v>
      </c>
      <c r="I41" s="327" t="str">
        <f t="shared" si="7"/>
        <v>AC 0%</v>
      </c>
      <c r="J41" s="271" t="s">
        <v>136</v>
      </c>
      <c r="K41" s="237">
        <f>IF(K$38&lt;&gt;0,0,K$39*$T$9*-1)</f>
        <v>0</v>
      </c>
      <c r="L41" s="237">
        <f t="shared" ref="L41:P41" si="26">IF(L$38&lt;&gt;0,0,L$39*$T$9*-1)</f>
        <v>0</v>
      </c>
      <c r="M41" s="237">
        <f t="shared" si="26"/>
        <v>0</v>
      </c>
      <c r="N41" s="237">
        <f t="shared" si="26"/>
        <v>0</v>
      </c>
      <c r="O41" s="237">
        <f t="shared" si="26"/>
        <v>0</v>
      </c>
      <c r="P41" s="238">
        <f t="shared" si="26"/>
        <v>0</v>
      </c>
      <c r="Q41" s="240">
        <f t="shared" si="24"/>
        <v>0</v>
      </c>
      <c r="R41" s="79"/>
      <c r="S41" s="487"/>
      <c r="T41" s="487"/>
      <c r="U41" s="487"/>
      <c r="V41" s="65"/>
      <c r="X41" s="2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</row>
    <row r="42" spans="1:37" s="2" customFormat="1" ht="15" customHeight="1" x14ac:dyDescent="0.25">
      <c r="A42" s="312" t="str">
        <f>IF(T11&lt;0.01,"ANP",(CONCATENATE("ANP ",T11*100,"%")))</f>
        <v>ANP</v>
      </c>
      <c r="B42" s="271" t="s">
        <v>136</v>
      </c>
      <c r="C42" s="382">
        <f t="shared" ref="C42:H42" si="27">(C$37-C$34-C$35-C$36)*-$T$11</f>
        <v>0</v>
      </c>
      <c r="D42" s="382">
        <f t="shared" si="27"/>
        <v>0</v>
      </c>
      <c r="E42" s="382">
        <f t="shared" si="27"/>
        <v>0</v>
      </c>
      <c r="F42" s="382">
        <f t="shared" si="27"/>
        <v>0</v>
      </c>
      <c r="G42" s="382">
        <f t="shared" si="27"/>
        <v>0</v>
      </c>
      <c r="H42" s="383">
        <f t="shared" si="27"/>
        <v>0</v>
      </c>
      <c r="I42" s="327" t="str">
        <f t="shared" si="7"/>
        <v>ANP</v>
      </c>
      <c r="J42" s="271" t="s">
        <v>136</v>
      </c>
      <c r="K42" s="382">
        <f t="shared" ref="K42:P42" si="28">(K$37-K$34-K$35-K$36)*-$T$11</f>
        <v>0</v>
      </c>
      <c r="L42" s="382">
        <f t="shared" si="28"/>
        <v>0</v>
      </c>
      <c r="M42" s="382">
        <f t="shared" si="28"/>
        <v>0</v>
      </c>
      <c r="N42" s="386">
        <f t="shared" si="28"/>
        <v>0</v>
      </c>
      <c r="O42" s="382">
        <f t="shared" si="28"/>
        <v>0</v>
      </c>
      <c r="P42" s="383">
        <f t="shared" si="28"/>
        <v>0</v>
      </c>
      <c r="Q42" s="240">
        <f t="shared" si="24"/>
        <v>0</v>
      </c>
      <c r="R42" s="65"/>
      <c r="S42" s="488"/>
      <c r="T42" s="488"/>
      <c r="U42" s="488"/>
      <c r="V42" s="79"/>
      <c r="W42" s="2">
        <f>IF(S41&gt;1,1,0)</f>
        <v>0</v>
      </c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</row>
    <row r="43" spans="1:37" s="2" customFormat="1" ht="15" customHeight="1" x14ac:dyDescent="0.25">
      <c r="A43" s="312" t="str">
        <f>IF(T13&lt;0.0000001,"IJM",(CONCATENATE("IJM ",T13*100,"%")))</f>
        <v>IJM</v>
      </c>
      <c r="B43" s="271" t="s">
        <v>136</v>
      </c>
      <c r="C43" s="382">
        <f t="shared" ref="C43:H43" si="29">(C$37-C$34-C$35-C$36)*-$T$13</f>
        <v>0</v>
      </c>
      <c r="D43" s="382">
        <f t="shared" si="29"/>
        <v>0</v>
      </c>
      <c r="E43" s="382">
        <f t="shared" si="29"/>
        <v>0</v>
      </c>
      <c r="F43" s="382">
        <f t="shared" si="29"/>
        <v>0</v>
      </c>
      <c r="G43" s="382">
        <f t="shared" si="29"/>
        <v>0</v>
      </c>
      <c r="H43" s="383">
        <f t="shared" si="29"/>
        <v>0</v>
      </c>
      <c r="I43" s="327" t="str">
        <f t="shared" si="7"/>
        <v>IJM</v>
      </c>
      <c r="J43" s="271" t="s">
        <v>136</v>
      </c>
      <c r="K43" s="382">
        <f t="shared" ref="K43:P43" si="30">(K$37-K$34-K$35-K$36)*-$T$13</f>
        <v>0</v>
      </c>
      <c r="L43" s="382">
        <f t="shared" si="30"/>
        <v>0</v>
      </c>
      <c r="M43" s="382">
        <f t="shared" si="30"/>
        <v>0</v>
      </c>
      <c r="N43" s="386">
        <f t="shared" si="30"/>
        <v>0</v>
      </c>
      <c r="O43" s="382">
        <f t="shared" si="30"/>
        <v>0</v>
      </c>
      <c r="P43" s="383">
        <f t="shared" si="30"/>
        <v>0</v>
      </c>
      <c r="Q43" s="240">
        <f t="shared" si="24"/>
        <v>0</v>
      </c>
      <c r="R43" s="65"/>
      <c r="S43" s="488"/>
      <c r="T43" s="488"/>
      <c r="U43" s="488"/>
      <c r="V43" s="65"/>
      <c r="W43" s="65"/>
      <c r="X43" s="101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245"/>
    </row>
    <row r="44" spans="1:37" s="2" customFormat="1" ht="15" customHeight="1" x14ac:dyDescent="0.25">
      <c r="A44" s="312" t="str">
        <f>IF(T16&gt;0.01%,(CONCATENATE("LPP ",T16*100,"%")),IF(T15&lt;0.01,"LPP",(CONCATENATE("LPP ","CHF ",T15))))</f>
        <v>LPP</v>
      </c>
      <c r="B44" s="271" t="s">
        <v>136</v>
      </c>
      <c r="C44" s="382">
        <f t="shared" ref="C44:H44" si="31">IF(OR(C$39=0,C$67="oui",DATEDIF($F$7,$A$21,"Y")&lt;18),0,IF($T$16&gt;0.1%,-$T$16*C$39,-$T$15))</f>
        <v>0</v>
      </c>
      <c r="D44" s="382">
        <f t="shared" si="31"/>
        <v>0</v>
      </c>
      <c r="E44" s="382">
        <f t="shared" si="31"/>
        <v>0</v>
      </c>
      <c r="F44" s="382">
        <f t="shared" si="31"/>
        <v>0</v>
      </c>
      <c r="G44" s="382">
        <f t="shared" si="31"/>
        <v>0</v>
      </c>
      <c r="H44" s="383">
        <f t="shared" si="31"/>
        <v>0</v>
      </c>
      <c r="I44" s="327" t="str">
        <f t="shared" si="7"/>
        <v>LPP</v>
      </c>
      <c r="J44" s="271" t="s">
        <v>136</v>
      </c>
      <c r="K44" s="382">
        <f t="shared" ref="K44:P44" si="32">IF(OR(K$39=0,K$67="oui",DATEDIF($F$7,$A$21,"Y")&lt;18),0,IF($T$16&gt;0.1%,-$T$16*K$39,-$T$15))</f>
        <v>0</v>
      </c>
      <c r="L44" s="382">
        <f t="shared" si="32"/>
        <v>0</v>
      </c>
      <c r="M44" s="382">
        <f t="shared" si="32"/>
        <v>0</v>
      </c>
      <c r="N44" s="382">
        <f t="shared" si="32"/>
        <v>0</v>
      </c>
      <c r="O44" s="382">
        <f t="shared" si="32"/>
        <v>0</v>
      </c>
      <c r="P44" s="383">
        <f t="shared" si="32"/>
        <v>0</v>
      </c>
      <c r="Q44" s="240">
        <f t="shared" si="24"/>
        <v>0</v>
      </c>
      <c r="R44" s="65"/>
      <c r="S44" s="65"/>
      <c r="T44" s="65"/>
      <c r="U44" s="65"/>
      <c r="V44" s="65"/>
      <c r="W44" s="101"/>
      <c r="X44" s="59"/>
      <c r="Y44" s="59"/>
      <c r="Z44" s="59"/>
      <c r="AA44" s="59"/>
      <c r="AB44" s="59"/>
      <c r="AC44" s="59"/>
      <c r="AD44" s="59"/>
      <c r="AE44" s="59"/>
    </row>
    <row r="45" spans="1:37" s="2" customFormat="1" ht="15" customHeight="1" x14ac:dyDescent="0.25">
      <c r="A45" s="312" t="str">
        <f>IF(G13="à choisir","",IF(OR(Y9&lt;5%,G13="ordinaire",)," ",(CONCATENATE("Impôt selon LTN ",Y9*100,"%"))))</f>
        <v/>
      </c>
      <c r="B45" s="270" t="str">
        <f>IF(A45="Impôt selon LTN 5%","CHF"," ")</f>
        <v xml:space="preserve"> </v>
      </c>
      <c r="C45" s="382">
        <f t="shared" ref="C45:H45" si="33">IF(C39+C38=0,0,IF(C$67="no",C39*-$Y$9,IF(AND(C38&gt;1),(C39+C38)*-$Y$9,C39*-$Y$9)))</f>
        <v>0</v>
      </c>
      <c r="D45" s="382">
        <f t="shared" si="33"/>
        <v>0</v>
      </c>
      <c r="E45" s="382">
        <f t="shared" si="33"/>
        <v>0</v>
      </c>
      <c r="F45" s="382">
        <f t="shared" si="33"/>
        <v>0</v>
      </c>
      <c r="G45" s="382">
        <f t="shared" si="33"/>
        <v>0</v>
      </c>
      <c r="H45" s="383">
        <f t="shared" si="33"/>
        <v>0</v>
      </c>
      <c r="I45" s="312" t="str">
        <f t="shared" si="7"/>
        <v/>
      </c>
      <c r="J45" s="270" t="str">
        <f>IF(I45="QST gem. BGSA 5%","CHF"," ")</f>
        <v xml:space="preserve"> </v>
      </c>
      <c r="K45" s="382">
        <f t="shared" ref="K45:P45" si="34">IF(K39+K38=0,0,IF(K$67="no",K39*-$Y$9,IF(AND(K38&gt;1),(K39+K38)*-$Y$9,K39*-$Y$9)))</f>
        <v>0</v>
      </c>
      <c r="L45" s="382">
        <f t="shared" si="34"/>
        <v>0</v>
      </c>
      <c r="M45" s="382">
        <f t="shared" si="34"/>
        <v>0</v>
      </c>
      <c r="N45" s="382">
        <f t="shared" si="34"/>
        <v>0</v>
      </c>
      <c r="O45" s="382">
        <f t="shared" si="34"/>
        <v>0</v>
      </c>
      <c r="P45" s="383">
        <f t="shared" si="34"/>
        <v>0</v>
      </c>
      <c r="Q45" s="304">
        <f>ROUND((SUM(C45:H45)+SUM(K45:P45))*20,0)/20</f>
        <v>0</v>
      </c>
      <c r="R45" s="65"/>
      <c r="S45" s="65"/>
      <c r="T45" s="65"/>
      <c r="U45" s="65"/>
      <c r="V45" s="65"/>
      <c r="W45" s="79">
        <f>SUM(W21:W43)</f>
        <v>0</v>
      </c>
      <c r="X45" s="58"/>
      <c r="Y45" s="59"/>
      <c r="Z45" s="59"/>
      <c r="AA45" s="59"/>
      <c r="AB45" s="59"/>
      <c r="AC45" s="59"/>
      <c r="AD45" s="59"/>
      <c r="AE45" s="59"/>
    </row>
    <row r="46" spans="1:37" s="2" customFormat="1" ht="15" customHeight="1" x14ac:dyDescent="0.25">
      <c r="A46" s="312" t="str">
        <f>IF(G13="ordinaire","Impôt à la source","")</f>
        <v/>
      </c>
      <c r="B46" s="270" t="str">
        <f>IF(A46="Impôt à la source","CHF"," ")</f>
        <v xml:space="preserve"> </v>
      </c>
      <c r="C46" s="382"/>
      <c r="D46" s="382"/>
      <c r="E46" s="382"/>
      <c r="F46" s="382"/>
      <c r="G46" s="382"/>
      <c r="H46" s="385"/>
      <c r="I46" s="327" t="str">
        <f t="shared" si="7"/>
        <v/>
      </c>
      <c r="J46" s="270" t="str">
        <f>IF(I46="QST","CHF"," ")</f>
        <v xml:space="preserve"> </v>
      </c>
      <c r="K46" s="384"/>
      <c r="L46" s="384"/>
      <c r="M46" s="384"/>
      <c r="N46" s="386"/>
      <c r="O46" s="384"/>
      <c r="P46" s="385"/>
      <c r="Q46" s="70">
        <f t="shared" si="24"/>
        <v>0</v>
      </c>
      <c r="R46" s="65"/>
      <c r="S46" s="65"/>
      <c r="T46" s="65"/>
      <c r="U46" s="65"/>
      <c r="V46" s="65"/>
      <c r="W46" s="101"/>
      <c r="X46" s="59"/>
      <c r="Y46" s="59"/>
      <c r="Z46" s="59"/>
      <c r="AA46" s="59"/>
      <c r="AB46" s="59"/>
      <c r="AC46" s="59"/>
      <c r="AD46" s="59"/>
      <c r="AE46" s="59"/>
    </row>
    <row r="47" spans="1:37" s="2" customFormat="1" ht="15" customHeight="1" x14ac:dyDescent="0.25">
      <c r="A47" s="312" t="s">
        <v>145</v>
      </c>
      <c r="B47" s="271" t="s">
        <v>136</v>
      </c>
      <c r="C47" s="382"/>
      <c r="D47" s="384"/>
      <c r="E47" s="384"/>
      <c r="F47" s="384"/>
      <c r="G47" s="384"/>
      <c r="H47" s="385"/>
      <c r="I47" s="327" t="str">
        <f t="shared" si="7"/>
        <v>Frais effectifs</v>
      </c>
      <c r="J47" s="271" t="s">
        <v>136</v>
      </c>
      <c r="K47" s="384"/>
      <c r="L47" s="384"/>
      <c r="M47" s="384"/>
      <c r="N47" s="386"/>
      <c r="O47" s="384"/>
      <c r="P47" s="385"/>
      <c r="Q47" s="70">
        <f t="shared" si="24"/>
        <v>0</v>
      </c>
      <c r="R47" s="172"/>
      <c r="S47" s="65"/>
      <c r="T47" s="65"/>
      <c r="U47" s="65"/>
      <c r="V47" s="172"/>
      <c r="W47" s="101"/>
      <c r="X47" s="58"/>
      <c r="Y47" s="59"/>
      <c r="Z47" s="59"/>
      <c r="AA47" s="59"/>
      <c r="AB47" s="59"/>
      <c r="AC47" s="59"/>
      <c r="AD47" s="59"/>
      <c r="AE47" s="59"/>
    </row>
    <row r="48" spans="1:37" s="2" customFormat="1" ht="15" customHeight="1" x14ac:dyDescent="0.25">
      <c r="A48" s="316" t="s">
        <v>135</v>
      </c>
      <c r="B48" s="275" t="s">
        <v>136</v>
      </c>
      <c r="C48" s="382">
        <f>-C31</f>
        <v>0</v>
      </c>
      <c r="D48" s="384">
        <f t="shared" ref="D48:H48" si="35">-D31</f>
        <v>0</v>
      </c>
      <c r="E48" s="384">
        <f t="shared" si="35"/>
        <v>0</v>
      </c>
      <c r="F48" s="384">
        <f t="shared" si="35"/>
        <v>0</v>
      </c>
      <c r="G48" s="384">
        <f t="shared" si="35"/>
        <v>0</v>
      </c>
      <c r="H48" s="385">
        <f t="shared" si="35"/>
        <v>0</v>
      </c>
      <c r="I48" s="328" t="str">
        <f t="shared" si="7"/>
        <v>Repas &amp; logement</v>
      </c>
      <c r="J48" s="275" t="s">
        <v>136</v>
      </c>
      <c r="K48" s="384">
        <f t="shared" ref="K48:P48" si="36">-K31</f>
        <v>0</v>
      </c>
      <c r="L48" s="384">
        <f t="shared" si="36"/>
        <v>0</v>
      </c>
      <c r="M48" s="384">
        <f t="shared" si="36"/>
        <v>0</v>
      </c>
      <c r="N48" s="386">
        <f t="shared" si="36"/>
        <v>0</v>
      </c>
      <c r="O48" s="384">
        <f t="shared" si="36"/>
        <v>0</v>
      </c>
      <c r="P48" s="385">
        <f t="shared" si="36"/>
        <v>0</v>
      </c>
      <c r="Q48" s="241">
        <f t="shared" si="24"/>
        <v>0</v>
      </c>
      <c r="R48" s="57"/>
      <c r="S48" s="172"/>
      <c r="T48" s="172"/>
      <c r="U48" s="172"/>
      <c r="V48" s="57"/>
      <c r="W48" s="101"/>
      <c r="X48" s="58"/>
      <c r="Y48" s="59"/>
      <c r="Z48" s="59"/>
      <c r="AA48" s="59"/>
      <c r="AB48" s="59"/>
      <c r="AC48" s="59"/>
      <c r="AD48" s="59"/>
      <c r="AE48" s="59"/>
    </row>
    <row r="49" spans="1:31" s="2" customFormat="1" ht="15" customHeight="1" x14ac:dyDescent="0.25">
      <c r="A49" s="335" t="s">
        <v>146</v>
      </c>
      <c r="B49" s="336" t="s">
        <v>136</v>
      </c>
      <c r="C49" s="331">
        <f>MROUND(C37+(SUM(C40:C46)+C47+C48),0.05)</f>
        <v>0</v>
      </c>
      <c r="D49" s="331">
        <f t="shared" ref="D49:H49" si="37">MROUND(D37+(SUM(D40:D46)+D47+D48),0.05)</f>
        <v>0</v>
      </c>
      <c r="E49" s="331">
        <f t="shared" si="37"/>
        <v>0</v>
      </c>
      <c r="F49" s="331">
        <f t="shared" si="37"/>
        <v>0</v>
      </c>
      <c r="G49" s="331">
        <f t="shared" si="37"/>
        <v>0</v>
      </c>
      <c r="H49" s="333">
        <f t="shared" si="37"/>
        <v>0</v>
      </c>
      <c r="I49" s="335" t="str">
        <f t="shared" si="7"/>
        <v>Salaire net</v>
      </c>
      <c r="J49" s="336" t="s">
        <v>136</v>
      </c>
      <c r="K49" s="331">
        <f t="shared" ref="K49:P49" si="38">MROUND(K37+(SUM(K40:K46)+K47+K48),0.05)</f>
        <v>0</v>
      </c>
      <c r="L49" s="331">
        <f t="shared" si="38"/>
        <v>0</v>
      </c>
      <c r="M49" s="331">
        <f t="shared" si="38"/>
        <v>0</v>
      </c>
      <c r="N49" s="331">
        <f t="shared" si="38"/>
        <v>0</v>
      </c>
      <c r="O49" s="331">
        <f t="shared" si="38"/>
        <v>0</v>
      </c>
      <c r="P49" s="333">
        <f t="shared" si="38"/>
        <v>0</v>
      </c>
      <c r="Q49" s="242">
        <f>SUM(C49:H49)+SUM(K49:P49)</f>
        <v>0</v>
      </c>
      <c r="R49" s="57"/>
      <c r="S49" s="57"/>
      <c r="T49" s="57"/>
      <c r="U49" s="57"/>
      <c r="V49" s="57"/>
      <c r="W49" s="101"/>
      <c r="X49" s="58"/>
      <c r="Y49" s="59"/>
      <c r="Z49" s="59"/>
      <c r="AA49" s="59"/>
      <c r="AB49" s="59"/>
      <c r="AC49" s="59"/>
      <c r="AD49" s="59"/>
      <c r="AE49" s="59"/>
    </row>
    <row r="50" spans="1:31" s="2" customFormat="1" ht="15" customHeight="1" x14ac:dyDescent="0.25">
      <c r="A50" s="337" t="s">
        <v>147</v>
      </c>
      <c r="B50" s="330" t="s">
        <v>136</v>
      </c>
      <c r="C50" s="382"/>
      <c r="D50" s="382"/>
      <c r="E50" s="382"/>
      <c r="F50" s="382"/>
      <c r="G50" s="382"/>
      <c r="H50" s="383"/>
      <c r="I50" s="337" t="str">
        <f t="shared" si="7"/>
        <v>Salaire net payé</v>
      </c>
      <c r="J50" s="330" t="s">
        <v>136</v>
      </c>
      <c r="K50" s="382"/>
      <c r="L50" s="382"/>
      <c r="M50" s="382"/>
      <c r="N50" s="382"/>
      <c r="O50" s="382"/>
      <c r="P50" s="383"/>
      <c r="Q50" s="309">
        <f>SUM(C50:H50)+SUM(K50:P50)</f>
        <v>0</v>
      </c>
      <c r="R50" s="57"/>
      <c r="S50" s="57"/>
      <c r="T50" s="57"/>
      <c r="U50" s="57"/>
      <c r="V50" s="57"/>
      <c r="W50" s="101"/>
      <c r="X50" s="58"/>
      <c r="Y50" s="59"/>
      <c r="Z50" s="59"/>
      <c r="AA50" s="59"/>
      <c r="AB50" s="59"/>
      <c r="AC50" s="59"/>
      <c r="AD50" s="59"/>
      <c r="AE50" s="59"/>
    </row>
    <row r="51" spans="1:31" s="2" customFormat="1" ht="15" customHeight="1" x14ac:dyDescent="0.25">
      <c r="A51" s="338" t="s">
        <v>148</v>
      </c>
      <c r="B51" s="339" t="s">
        <v>136</v>
      </c>
      <c r="C51" s="332">
        <f>IF(C50=0,0,C50-C49)</f>
        <v>0</v>
      </c>
      <c r="D51" s="332">
        <f t="shared" ref="D51:H51" si="39">IF(D50=0,0,D50-D49)</f>
        <v>0</v>
      </c>
      <c r="E51" s="332">
        <f t="shared" si="39"/>
        <v>0</v>
      </c>
      <c r="F51" s="332">
        <f t="shared" si="39"/>
        <v>0</v>
      </c>
      <c r="G51" s="332">
        <f t="shared" si="39"/>
        <v>0</v>
      </c>
      <c r="H51" s="334">
        <f t="shared" si="39"/>
        <v>0</v>
      </c>
      <c r="I51" s="338" t="str">
        <f t="shared" si="7"/>
        <v>Différence</v>
      </c>
      <c r="J51" s="339" t="s">
        <v>136</v>
      </c>
      <c r="K51" s="332">
        <f t="shared" ref="K51:P51" si="40">IF(K50=0,0,K50-K49)</f>
        <v>0</v>
      </c>
      <c r="L51" s="332">
        <f t="shared" si="40"/>
        <v>0</v>
      </c>
      <c r="M51" s="332">
        <f t="shared" si="40"/>
        <v>0</v>
      </c>
      <c r="N51" s="332">
        <f t="shared" si="40"/>
        <v>0</v>
      </c>
      <c r="O51" s="332">
        <f t="shared" si="40"/>
        <v>0</v>
      </c>
      <c r="P51" s="334">
        <f t="shared" si="40"/>
        <v>0</v>
      </c>
      <c r="Q51" s="309">
        <f>SUM(C51:H51)+SUM(K51:P51)</f>
        <v>0</v>
      </c>
      <c r="R51" s="57"/>
      <c r="S51" s="57"/>
      <c r="T51" s="57"/>
      <c r="U51" s="57"/>
      <c r="V51" s="57"/>
      <c r="W51" s="101"/>
      <c r="X51" s="58"/>
      <c r="Y51" s="59"/>
      <c r="Z51" s="59"/>
      <c r="AA51" s="59"/>
      <c r="AB51" s="59"/>
      <c r="AC51" s="59"/>
      <c r="AD51" s="59"/>
      <c r="AE51" s="59"/>
    </row>
    <row r="52" spans="1:31" s="2" customFormat="1" ht="15" customHeight="1" x14ac:dyDescent="0.25">
      <c r="A52" s="71" t="s">
        <v>149</v>
      </c>
      <c r="B52" s="326"/>
      <c r="C52" s="458"/>
      <c r="D52" s="458"/>
      <c r="E52" s="458"/>
      <c r="F52" s="458"/>
      <c r="G52" s="458"/>
      <c r="H52" s="462"/>
      <c r="I52" s="71" t="str">
        <f t="shared" si="7"/>
        <v>Remarques</v>
      </c>
      <c r="J52" s="326"/>
      <c r="K52" s="458"/>
      <c r="L52" s="458"/>
      <c r="M52" s="458"/>
      <c r="N52" s="458"/>
      <c r="O52" s="464"/>
      <c r="P52" s="462"/>
      <c r="Q52" s="72">
        <f t="shared" ref="Q52" si="41">SUM(C52:H52)+SUM(K52:P52)</f>
        <v>0</v>
      </c>
      <c r="R52" s="65"/>
      <c r="S52" s="57"/>
      <c r="T52" s="57"/>
      <c r="U52" s="57"/>
      <c r="V52" s="65"/>
      <c r="W52" s="101"/>
      <c r="X52" s="59"/>
      <c r="Y52" s="59"/>
      <c r="Z52" s="59"/>
      <c r="AA52" s="59"/>
      <c r="AB52" s="59"/>
      <c r="AC52" s="59"/>
      <c r="AD52" s="59"/>
      <c r="AE52" s="59"/>
    </row>
    <row r="53" spans="1:31" s="6" customFormat="1" ht="15" customHeight="1" thickBot="1" x14ac:dyDescent="0.3">
      <c r="A53" s="317"/>
      <c r="B53" s="277"/>
      <c r="C53" s="459"/>
      <c r="D53" s="459"/>
      <c r="E53" s="459"/>
      <c r="F53" s="459"/>
      <c r="G53" s="459"/>
      <c r="H53" s="463"/>
      <c r="I53" s="317"/>
      <c r="J53" s="277"/>
      <c r="K53" s="459"/>
      <c r="L53" s="459"/>
      <c r="M53" s="459"/>
      <c r="N53" s="459"/>
      <c r="O53" s="465"/>
      <c r="P53" s="463"/>
      <c r="Q53" s="73"/>
      <c r="R53" s="79"/>
      <c r="S53" s="65"/>
      <c r="T53" s="65"/>
      <c r="U53" s="65"/>
      <c r="V53" s="79"/>
      <c r="W53" s="101"/>
      <c r="X53" s="59"/>
      <c r="Y53" s="59"/>
      <c r="Z53" s="59"/>
      <c r="AA53" s="59"/>
      <c r="AB53" s="59"/>
      <c r="AC53" s="59"/>
      <c r="AD53" s="64"/>
      <c r="AE53" s="64"/>
    </row>
    <row r="54" spans="1:31" s="2" customFormat="1" ht="5.15" customHeight="1" thickBot="1" x14ac:dyDescent="0.35">
      <c r="A54" s="53"/>
      <c r="B54" s="53"/>
      <c r="C54" s="74"/>
      <c r="D54" s="54"/>
      <c r="E54" s="55"/>
      <c r="F54" s="54"/>
      <c r="G54" s="54"/>
      <c r="H54" s="56"/>
      <c r="I54" s="53"/>
      <c r="J54" s="53"/>
      <c r="K54" s="56"/>
      <c r="L54" s="56"/>
      <c r="M54" s="56"/>
      <c r="N54" s="74"/>
      <c r="O54" s="54"/>
      <c r="P54" s="54"/>
      <c r="Q54" s="54">
        <f>SUM(C54:H54)+SUM(K54:P54)</f>
        <v>0</v>
      </c>
      <c r="R54" s="57"/>
      <c r="S54" s="79"/>
      <c r="T54" s="79"/>
      <c r="U54" s="79"/>
      <c r="V54" s="57"/>
      <c r="W54" s="102"/>
      <c r="X54" s="63"/>
      <c r="Y54" s="64"/>
      <c r="Z54" s="64"/>
      <c r="AA54" s="64"/>
      <c r="AB54" s="64"/>
      <c r="AC54" s="64"/>
      <c r="AD54" s="59"/>
      <c r="AE54" s="59"/>
    </row>
    <row r="55" spans="1:31" s="2" customFormat="1" ht="15" customHeight="1" x14ac:dyDescent="0.25">
      <c r="A55" s="318" t="s">
        <v>150</v>
      </c>
      <c r="B55" s="278"/>
      <c r="C55" s="85">
        <f t="shared" ref="C55:H55" si="42">C21</f>
        <v>46023</v>
      </c>
      <c r="D55" s="86">
        <f t="shared" si="42"/>
        <v>46054</v>
      </c>
      <c r="E55" s="86">
        <f t="shared" si="42"/>
        <v>46082</v>
      </c>
      <c r="F55" s="86">
        <f t="shared" si="42"/>
        <v>46113</v>
      </c>
      <c r="G55" s="86">
        <f t="shared" si="42"/>
        <v>46143</v>
      </c>
      <c r="H55" s="87">
        <f t="shared" si="42"/>
        <v>46174</v>
      </c>
      <c r="I55" s="318" t="str">
        <f>A55</f>
        <v>Données pour AssistMe:</v>
      </c>
      <c r="J55" s="278"/>
      <c r="K55" s="86">
        <f t="shared" ref="K55:P55" si="43">K21</f>
        <v>46204</v>
      </c>
      <c r="L55" s="86">
        <f t="shared" si="43"/>
        <v>46235</v>
      </c>
      <c r="M55" s="86">
        <f t="shared" si="43"/>
        <v>46266</v>
      </c>
      <c r="N55" s="88">
        <f t="shared" si="43"/>
        <v>46296</v>
      </c>
      <c r="O55" s="86">
        <f t="shared" si="43"/>
        <v>46327</v>
      </c>
      <c r="P55" s="87">
        <f t="shared" si="43"/>
        <v>46357</v>
      </c>
      <c r="Q55" s="229" t="s">
        <v>134</v>
      </c>
      <c r="R55" s="57"/>
      <c r="S55" s="57"/>
      <c r="T55" s="57"/>
      <c r="U55" s="57"/>
      <c r="V55" s="57"/>
      <c r="W55" s="101"/>
      <c r="X55" s="59"/>
      <c r="Y55" s="59"/>
      <c r="Z55" s="59"/>
      <c r="AA55" s="59"/>
      <c r="AB55" s="59"/>
      <c r="AC55" s="59"/>
      <c r="AD55" s="59"/>
      <c r="AE55" s="59"/>
    </row>
    <row r="56" spans="1:31" s="2" customFormat="1" ht="15" customHeight="1" x14ac:dyDescent="0.25">
      <c r="A56" s="319" t="s">
        <v>151</v>
      </c>
      <c r="B56" s="279" t="s">
        <v>152</v>
      </c>
      <c r="C56" s="292" t="str">
        <f t="shared" ref="C56:H56" si="44">IF($C$16="Salaire horaire",IF($M$8="","",(C25*$P$10)+(C24*$P$7)+C26+C28+(C32+C33)/(IF($M$13&gt;1,((($M$8+$M$13)/2)),$M$8))),"Salaire mensuel")</f>
        <v>Salaire mensuel</v>
      </c>
      <c r="D56" s="292" t="str">
        <f t="shared" si="44"/>
        <v>Salaire mensuel</v>
      </c>
      <c r="E56" s="292" t="str">
        <f t="shared" si="44"/>
        <v>Salaire mensuel</v>
      </c>
      <c r="F56" s="292" t="str">
        <f t="shared" si="44"/>
        <v>Salaire mensuel</v>
      </c>
      <c r="G56" s="292" t="str">
        <f t="shared" si="44"/>
        <v>Salaire mensuel</v>
      </c>
      <c r="H56" s="293" t="str">
        <f t="shared" si="44"/>
        <v>Salaire mensuel</v>
      </c>
      <c r="I56" s="320" t="str">
        <f>A56</f>
        <v>Nombre d'heures</v>
      </c>
      <c r="J56" s="279" t="s">
        <v>153</v>
      </c>
      <c r="K56" s="292" t="str">
        <f t="shared" ref="K56:P56" si="45">IF($C$16="Salaire horaire",IF($M$8="","",(K25*$P$10)+(K24*$P$7)+K26+K28+(K32+K33)/(IF($M$13&gt;1,((($M$8+$M$13)/2)),$M$8))),"Salaire mensuel")</f>
        <v>Salaire mensuel</v>
      </c>
      <c r="L56" s="292" t="str">
        <f t="shared" si="45"/>
        <v>Salaire mensuel</v>
      </c>
      <c r="M56" s="292" t="str">
        <f t="shared" si="45"/>
        <v>Salaire mensuel</v>
      </c>
      <c r="N56" s="292" t="str">
        <f t="shared" si="45"/>
        <v>Salaire mensuel</v>
      </c>
      <c r="O56" s="292" t="str">
        <f t="shared" si="45"/>
        <v>Salaire mensuel</v>
      </c>
      <c r="P56" s="293" t="str">
        <f t="shared" si="45"/>
        <v>Salaire mensuel</v>
      </c>
      <c r="Q56" s="233">
        <f>SUM(C56:H56)+SUM(K56:P56)</f>
        <v>0</v>
      </c>
      <c r="R56" s="57"/>
      <c r="S56" s="57"/>
      <c r="T56" s="57"/>
      <c r="U56" s="57"/>
      <c r="V56" s="57"/>
      <c r="W56" s="101"/>
      <c r="X56" s="59"/>
      <c r="Y56" s="59"/>
      <c r="Z56" s="59"/>
      <c r="AA56" s="59"/>
      <c r="AB56" s="59"/>
      <c r="AC56" s="59"/>
      <c r="AD56" s="59"/>
      <c r="AE56" s="59"/>
    </row>
    <row r="57" spans="1:31" s="2" customFormat="1" ht="15" customHeight="1" x14ac:dyDescent="0.25">
      <c r="A57" s="320" t="s">
        <v>146</v>
      </c>
      <c r="B57" s="280" t="s">
        <v>136</v>
      </c>
      <c r="C57" s="294">
        <f>C49-C48-C47-C46-C36-C35-C34-C31</f>
        <v>0</v>
      </c>
      <c r="D57" s="294">
        <f t="shared" ref="D57:H57" si="46">D49-D48-D47-D46-D36-D35-D34-D31</f>
        <v>0</v>
      </c>
      <c r="E57" s="294">
        <f t="shared" si="46"/>
        <v>0</v>
      </c>
      <c r="F57" s="294">
        <f t="shared" si="46"/>
        <v>0</v>
      </c>
      <c r="G57" s="294">
        <f t="shared" si="46"/>
        <v>0</v>
      </c>
      <c r="H57" s="293">
        <f t="shared" si="46"/>
        <v>0</v>
      </c>
      <c r="I57" s="320" t="str">
        <f>A57</f>
        <v>Salaire net</v>
      </c>
      <c r="J57" s="280" t="s">
        <v>136</v>
      </c>
      <c r="K57" s="60">
        <f t="shared" ref="K57:P57" si="47">K49-K48-K47-K46-K36-K35-K34-K31</f>
        <v>0</v>
      </c>
      <c r="L57" s="60">
        <f t="shared" si="47"/>
        <v>0</v>
      </c>
      <c r="M57" s="60">
        <f t="shared" si="47"/>
        <v>0</v>
      </c>
      <c r="N57" s="301">
        <f t="shared" si="47"/>
        <v>0</v>
      </c>
      <c r="O57" s="60">
        <f t="shared" si="47"/>
        <v>0</v>
      </c>
      <c r="P57" s="61">
        <f t="shared" si="47"/>
        <v>0</v>
      </c>
      <c r="Q57" s="61">
        <f>SUM(C57:H57)+SUM(K57:P57)</f>
        <v>0</v>
      </c>
      <c r="R57" s="57"/>
      <c r="S57" s="57"/>
      <c r="T57" s="57"/>
      <c r="U57" s="57"/>
      <c r="V57" s="57"/>
      <c r="W57" s="101"/>
      <c r="X57" s="58"/>
      <c r="Y57" s="59"/>
      <c r="Z57" s="59"/>
      <c r="AA57" s="59"/>
      <c r="AB57" s="59"/>
      <c r="AC57" s="59"/>
      <c r="AD57" s="59"/>
      <c r="AE57" s="59"/>
    </row>
    <row r="58" spans="1:31" s="2" customFormat="1" ht="15" customHeight="1" thickBot="1" x14ac:dyDescent="0.3">
      <c r="A58" s="321" t="s">
        <v>154</v>
      </c>
      <c r="B58" s="281" t="s">
        <v>136</v>
      </c>
      <c r="C58" s="295">
        <f>IF(C32&gt;0.1,C32-(C32*(SUM($T$8:$T$14)+$Y$9+$T$16))-(C32/IF(C39=0,1,C39)*-C44),IF(C32&lt;-0.1,C32-(C32*(SUM($T$8:$T$14)+$Y$9+$T$16))-(C32/IF(C39=0,1,C39)*-C44),0))</f>
        <v>0</v>
      </c>
      <c r="D58" s="295">
        <f t="shared" ref="D58:H58" si="48">IF(D32&gt;0.1,D32-(D32*(SUM($T$8:$T$14)+$Y$9+$T$16))-(D32/IF(D39=0,1,D39)*-D44),IF(D32&lt;-0.1,D32-(D32*(SUM($T$8:$T$14)+$Y$9+$T$16))-(D32/IF(D39=0,1,D39)*-D44),0))</f>
        <v>0</v>
      </c>
      <c r="E58" s="295">
        <f t="shared" si="48"/>
        <v>0</v>
      </c>
      <c r="F58" s="295">
        <f t="shared" si="48"/>
        <v>0</v>
      </c>
      <c r="G58" s="295">
        <f t="shared" si="48"/>
        <v>0</v>
      </c>
      <c r="H58" s="296">
        <f t="shared" si="48"/>
        <v>0</v>
      </c>
      <c r="I58" s="321" t="str">
        <f>A58</f>
        <v>Dont oblig. de verser le salaire (art. 324a CO)</v>
      </c>
      <c r="J58" s="281" t="s">
        <v>136</v>
      </c>
      <c r="K58" s="295">
        <f t="shared" ref="K58:P58" si="49">IF(K32&gt;0.1,K32-(K32*(SUM($T$8:$T$14)+$Y$9+$T$16))-(K32/IF(K39=0,1,K39)*-K44),IF(K32&lt;-0.1,K32-(K32*(SUM($T$8:$T$14)+$Y$9+$T$16))-(K32/IF(K39=0,1,K39)*-K44),0))</f>
        <v>0</v>
      </c>
      <c r="L58" s="295">
        <f t="shared" si="49"/>
        <v>0</v>
      </c>
      <c r="M58" s="295">
        <f t="shared" si="49"/>
        <v>0</v>
      </c>
      <c r="N58" s="295">
        <f t="shared" si="49"/>
        <v>0</v>
      </c>
      <c r="O58" s="295">
        <f t="shared" si="49"/>
        <v>0</v>
      </c>
      <c r="P58" s="296">
        <f t="shared" si="49"/>
        <v>0</v>
      </c>
      <c r="Q58" s="84">
        <f>SUM(C58:H58)+SUM(K58:P58)</f>
        <v>0</v>
      </c>
      <c r="R58" s="57"/>
      <c r="S58" s="57"/>
      <c r="T58" s="57"/>
      <c r="U58" s="57"/>
      <c r="V58" s="57"/>
      <c r="W58" s="101"/>
      <c r="X58" s="58"/>
      <c r="Y58" s="59"/>
      <c r="Z58" s="59"/>
      <c r="AA58" s="59"/>
      <c r="AB58" s="59"/>
      <c r="AC58" s="59"/>
      <c r="AD58" s="59"/>
      <c r="AE58" s="59"/>
    </row>
    <row r="59" spans="1:31" s="6" customFormat="1" ht="5.15" customHeight="1" thickBot="1" x14ac:dyDescent="0.3">
      <c r="A59" s="2"/>
      <c r="B59" s="2"/>
      <c r="C59" s="65"/>
      <c r="D59" s="57"/>
      <c r="E59" s="66"/>
      <c r="F59" s="57"/>
      <c r="G59" s="57"/>
      <c r="H59" s="67"/>
      <c r="I59" s="2"/>
      <c r="J59" s="2"/>
      <c r="K59" s="67"/>
      <c r="L59" s="67"/>
      <c r="M59" s="67"/>
      <c r="N59" s="65"/>
      <c r="O59" s="57"/>
      <c r="P59" s="57"/>
      <c r="Q59" s="57"/>
      <c r="R59" s="62"/>
      <c r="S59" s="57"/>
      <c r="T59" s="57"/>
      <c r="U59" s="57"/>
      <c r="V59" s="62"/>
      <c r="W59" s="101"/>
      <c r="X59" s="58"/>
      <c r="Y59" s="59"/>
      <c r="Z59" s="59"/>
      <c r="AA59" s="59"/>
      <c r="AB59" s="59"/>
      <c r="AC59" s="59"/>
      <c r="AD59" s="64"/>
      <c r="AE59" s="64"/>
    </row>
    <row r="60" spans="1:31" s="6" customFormat="1" ht="15" customHeight="1" x14ac:dyDescent="0.3">
      <c r="A60" s="322" t="str">
        <f>IF(G12="oui","Contribution d'assistance de l'AI","")</f>
        <v/>
      </c>
      <c r="B60" s="282"/>
      <c r="C60" s="226" t="str">
        <f>IF($G$12="oui",C21,"")</f>
        <v/>
      </c>
      <c r="D60" s="226" t="str">
        <f t="shared" ref="D60:H60" si="50">IF($G$12="oui",D21,"")</f>
        <v/>
      </c>
      <c r="E60" s="226" t="str">
        <f t="shared" si="50"/>
        <v/>
      </c>
      <c r="F60" s="226" t="str">
        <f t="shared" si="50"/>
        <v/>
      </c>
      <c r="G60" s="226" t="str">
        <f t="shared" si="50"/>
        <v/>
      </c>
      <c r="H60" s="227" t="str">
        <f t="shared" si="50"/>
        <v/>
      </c>
      <c r="I60" s="322" t="str">
        <f t="shared" ref="I60:I64" si="51">A60</f>
        <v/>
      </c>
      <c r="J60" s="282"/>
      <c r="K60" s="226" t="str">
        <f>IF($G$12="oui",K21,"")</f>
        <v/>
      </c>
      <c r="L60" s="226" t="str">
        <f t="shared" ref="L60:P60" si="52">IF($G$12="oui",L21,"")</f>
        <v/>
      </c>
      <c r="M60" s="226" t="str">
        <f t="shared" si="52"/>
        <v/>
      </c>
      <c r="N60" s="226" t="str">
        <f t="shared" si="52"/>
        <v/>
      </c>
      <c r="O60" s="226" t="str">
        <f t="shared" si="52"/>
        <v/>
      </c>
      <c r="P60" s="227" t="str">
        <f t="shared" si="52"/>
        <v/>
      </c>
      <c r="Q60" s="230" t="str">
        <f>IF($G$12="Oui","Total","")</f>
        <v/>
      </c>
      <c r="R60" s="62"/>
      <c r="S60" s="62"/>
      <c r="T60" s="62"/>
      <c r="U60" s="62"/>
      <c r="V60" s="62"/>
      <c r="W60" s="102"/>
      <c r="X60" s="63"/>
      <c r="Y60" s="64"/>
      <c r="Z60" s="64"/>
      <c r="AA60" s="64"/>
      <c r="AB60" s="64"/>
      <c r="AC60" s="64"/>
      <c r="AD60" s="64"/>
      <c r="AE60" s="64"/>
    </row>
    <row r="61" spans="1:31" s="2" customFormat="1" ht="15" customHeight="1" x14ac:dyDescent="0.3">
      <c r="A61" s="323" t="str">
        <f>IF(G12="oui","A) Nb. d'heures standard","")</f>
        <v/>
      </c>
      <c r="B61" s="283" t="str">
        <f>IF(G12="oui","h"," ")</f>
        <v xml:space="preserve"> </v>
      </c>
      <c r="C61" s="297" t="str">
        <f>IF($G$12="oui",(IF(DATEDIF($F$7,C$21,"Y")&lt;18,0,C26+C28)),"")</f>
        <v/>
      </c>
      <c r="D61" s="297" t="str">
        <f t="shared" ref="D61:H61" si="53">IF($G$12="oui",(IF(DATEDIF($F$7,D$21,"Y")&lt;18,0,D26+D28)),"")</f>
        <v/>
      </c>
      <c r="E61" s="297" t="str">
        <f t="shared" si="53"/>
        <v/>
      </c>
      <c r="F61" s="297" t="str">
        <f t="shared" si="53"/>
        <v/>
      </c>
      <c r="G61" s="297" t="str">
        <f t="shared" si="53"/>
        <v/>
      </c>
      <c r="H61" s="298" t="str">
        <f t="shared" si="53"/>
        <v/>
      </c>
      <c r="I61" s="324" t="str">
        <f t="shared" si="51"/>
        <v/>
      </c>
      <c r="J61" s="283" t="str">
        <f>B61</f>
        <v xml:space="preserve"> </v>
      </c>
      <c r="K61" s="297" t="str">
        <f>IF($G$12="oui",(IF(DATEDIF($F$7,K$21,"Y")&lt;18,0,K26+K28)),"")</f>
        <v/>
      </c>
      <c r="L61" s="297" t="str">
        <f t="shared" ref="L61:P61" si="54">IF($G$12="oui",(IF(DATEDIF($F$7,L$21,"Y")&lt;18,0,L26+L28)),"")</f>
        <v/>
      </c>
      <c r="M61" s="297" t="str">
        <f t="shared" si="54"/>
        <v/>
      </c>
      <c r="N61" s="297" t="str">
        <f t="shared" si="54"/>
        <v/>
      </c>
      <c r="O61" s="297" t="str">
        <f t="shared" si="54"/>
        <v/>
      </c>
      <c r="P61" s="298" t="str">
        <f t="shared" si="54"/>
        <v/>
      </c>
      <c r="Q61" s="402" t="str">
        <f>IF($G$12="Oui",SUM(C61:H61)+SUM(K61:P61),"")</f>
        <v/>
      </c>
      <c r="R61" s="57"/>
      <c r="S61" s="62"/>
      <c r="T61" s="62"/>
      <c r="U61" s="62"/>
      <c r="V61" s="57"/>
      <c r="W61" s="102"/>
      <c r="X61" s="63"/>
      <c r="Y61" s="64"/>
      <c r="Z61" s="64"/>
      <c r="AA61" s="64"/>
      <c r="AB61" s="64"/>
      <c r="AC61" s="64"/>
      <c r="AD61" s="59"/>
      <c r="AE61" s="59"/>
    </row>
    <row r="62" spans="1:31" s="2" customFormat="1" ht="15" customHeight="1" x14ac:dyDescent="0.25">
      <c r="A62" s="324" t="str">
        <f>IF(G12="oui","B) Nb. d'heures quali B","")</f>
        <v/>
      </c>
      <c r="B62" s="284" t="str">
        <f>IF(G12="oui","h"," ")</f>
        <v xml:space="preserve"> </v>
      </c>
      <c r="C62" s="297"/>
      <c r="D62" s="297"/>
      <c r="E62" s="297"/>
      <c r="F62" s="297"/>
      <c r="G62" s="297"/>
      <c r="H62" s="298"/>
      <c r="I62" s="324" t="str">
        <f t="shared" si="51"/>
        <v/>
      </c>
      <c r="J62" s="284" t="str">
        <f>B62</f>
        <v xml:space="preserve"> </v>
      </c>
      <c r="K62" s="297"/>
      <c r="L62" s="297"/>
      <c r="M62" s="297"/>
      <c r="N62" s="297"/>
      <c r="O62" s="297"/>
      <c r="P62" s="298"/>
      <c r="Q62" s="228" t="str">
        <f>IF($G$12="Oui",SUM(C62:H62)+SUM(K62:P62),"")</f>
        <v/>
      </c>
      <c r="R62" s="57"/>
      <c r="S62" s="57"/>
      <c r="T62" s="57"/>
      <c r="U62" s="57"/>
      <c r="V62" s="57"/>
      <c r="W62" s="101"/>
      <c r="X62" s="58"/>
      <c r="Y62" s="58"/>
      <c r="Z62" s="58"/>
      <c r="AA62" s="58"/>
      <c r="AB62" s="58"/>
      <c r="AC62" s="58"/>
      <c r="AD62" s="58"/>
      <c r="AE62" s="58"/>
    </row>
    <row r="63" spans="1:31" s="2" customFormat="1" ht="15" customHeight="1" x14ac:dyDescent="0.25">
      <c r="A63" s="445" t="str">
        <f>IF($G$12="oui","C) Nb. d'engagements 
de nuit","")</f>
        <v/>
      </c>
      <c r="B63" s="448" t="str">
        <f>IF(G12="oui","Nb."," ")</f>
        <v xml:space="preserve"> </v>
      </c>
      <c r="C63" s="376" t="str">
        <f>IF($G$12="Oui",(IF(DATEDIF($F$7,C$21,"Y")&lt;18,0,C25)),"")</f>
        <v/>
      </c>
      <c r="D63" s="376" t="str">
        <f t="shared" ref="D63:H63" si="55">IF($G$12="Oui",(IF(DATEDIF($F$7,D$21,"Y")&lt;18,0,D25)),"")</f>
        <v/>
      </c>
      <c r="E63" s="376" t="str">
        <f t="shared" si="55"/>
        <v/>
      </c>
      <c r="F63" s="376" t="str">
        <f t="shared" si="55"/>
        <v/>
      </c>
      <c r="G63" s="376" t="str">
        <f t="shared" si="55"/>
        <v/>
      </c>
      <c r="H63" s="377" t="str">
        <f t="shared" si="55"/>
        <v/>
      </c>
      <c r="I63" s="324" t="str">
        <f t="shared" si="51"/>
        <v/>
      </c>
      <c r="J63" s="284" t="str">
        <f>B63</f>
        <v xml:space="preserve"> </v>
      </c>
      <c r="K63" s="376" t="str">
        <f>IF($G$12="Oui",(IF(DATEDIF($F$7,K$21,"Y")&lt;18,0,K25)),"")</f>
        <v/>
      </c>
      <c r="L63" s="376" t="str">
        <f t="shared" ref="L63:P63" si="56">IF($G$12="Oui",(IF(DATEDIF($F$7,L$21,"Y")&lt;18,0,L25)),"")</f>
        <v/>
      </c>
      <c r="M63" s="376" t="str">
        <f t="shared" si="56"/>
        <v/>
      </c>
      <c r="N63" s="376" t="str">
        <f t="shared" si="56"/>
        <v/>
      </c>
      <c r="O63" s="376" t="str">
        <f t="shared" si="56"/>
        <v/>
      </c>
      <c r="P63" s="377" t="str">
        <f t="shared" si="56"/>
        <v/>
      </c>
      <c r="Q63" s="228" t="str">
        <f>IF($G$12="Oui",SUM(C63:H63)+SUM(K63:P63),"")</f>
        <v/>
      </c>
      <c r="R63" s="57"/>
      <c r="S63" s="57"/>
      <c r="T63" s="57"/>
      <c r="U63" s="57"/>
      <c r="V63" s="57"/>
      <c r="W63" s="101"/>
      <c r="X63" s="58"/>
      <c r="Y63" s="58"/>
      <c r="Z63" s="58"/>
      <c r="AA63" s="58"/>
      <c r="AB63" s="58"/>
      <c r="AC63" s="58"/>
      <c r="AD63" s="58"/>
      <c r="AE63" s="58"/>
    </row>
    <row r="64" spans="1:31" s="2" customFormat="1" ht="15" customHeight="1" thickBot="1" x14ac:dyDescent="0.3">
      <c r="A64" s="446" t="str">
        <f>IF(G12="oui","Oblig. de verser le salaire","")</f>
        <v/>
      </c>
      <c r="B64" s="449"/>
      <c r="C64" s="299" t="str">
        <f>IF($G$12="Oui",(IF(DATEDIF($F$7,C$21,"Y")&lt;18,0,(IF(OR(C32&gt;0.1,C33&gt;0.1),"décompter","")))),"")</f>
        <v/>
      </c>
      <c r="D64" s="299" t="str">
        <f t="shared" ref="D64:H64" si="57">IF($G$12="Oui",(IF(DATEDIF($F$7,D$21,"Y")&lt;18,0,(IF(OR(D32&gt;0.1,D33&gt;0.1),"décompter","")))),"")</f>
        <v/>
      </c>
      <c r="E64" s="299" t="str">
        <f t="shared" si="57"/>
        <v/>
      </c>
      <c r="F64" s="299" t="str">
        <f t="shared" si="57"/>
        <v/>
      </c>
      <c r="G64" s="299" t="str">
        <f t="shared" si="57"/>
        <v/>
      </c>
      <c r="H64" s="300" t="str">
        <f t="shared" si="57"/>
        <v/>
      </c>
      <c r="I64" s="325" t="str">
        <f t="shared" si="51"/>
        <v/>
      </c>
      <c r="J64" s="285">
        <f>B64</f>
        <v>0</v>
      </c>
      <c r="K64" s="299" t="str">
        <f>IF($G$12="Oui",(IF(DATEDIF($F$7,K$21,"Y")&lt;18,0,(IF(OR(K32&gt;0.1,K33&gt;0.1),"décompter","")))),"")</f>
        <v/>
      </c>
      <c r="L64" s="299" t="str">
        <f t="shared" ref="L64:P64" si="58">IF($G$12="Oui",(IF(DATEDIF($F$7,L$21,"Y")&lt;18,0,(IF(OR(L32&gt;0.1,L33&gt;0.1),"décompter","")))),"")</f>
        <v/>
      </c>
      <c r="M64" s="299" t="str">
        <f t="shared" si="58"/>
        <v/>
      </c>
      <c r="N64" s="299" t="str">
        <f t="shared" si="58"/>
        <v/>
      </c>
      <c r="O64" s="299" t="str">
        <f t="shared" si="58"/>
        <v/>
      </c>
      <c r="P64" s="300" t="str">
        <f t="shared" si="58"/>
        <v/>
      </c>
      <c r="Q64" s="231" t="str">
        <f>IF($G$12="oui",SUM(C64:H64)+SUM(K64:P64),"")</f>
        <v/>
      </c>
      <c r="R64" s="57"/>
      <c r="S64" s="57"/>
      <c r="T64" s="57"/>
      <c r="U64" s="57"/>
      <c r="V64" s="57"/>
      <c r="W64" s="101"/>
      <c r="X64" s="58"/>
      <c r="Y64" s="58"/>
      <c r="Z64" s="58"/>
      <c r="AA64" s="58"/>
      <c r="AB64" s="58"/>
      <c r="AC64" s="58"/>
      <c r="AD64" s="58"/>
      <c r="AE64" s="58"/>
    </row>
    <row r="65" spans="1:31" s="6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2"/>
      <c r="K65" s="1"/>
      <c r="L65" s="1"/>
      <c r="M65" s="1"/>
      <c r="N65" s="1"/>
      <c r="O65" s="1"/>
      <c r="P65" s="1"/>
      <c r="Q65" s="1"/>
      <c r="R65" s="62"/>
      <c r="S65" s="1"/>
      <c r="T65" s="1"/>
      <c r="U65" s="1"/>
      <c r="V65" s="62"/>
      <c r="W65" s="101"/>
      <c r="X65" s="58"/>
      <c r="Y65" s="58"/>
      <c r="Z65" s="58"/>
      <c r="AA65" s="58"/>
      <c r="AB65" s="58"/>
      <c r="AC65" s="58"/>
      <c r="AD65" s="63"/>
      <c r="AE65" s="63"/>
    </row>
    <row r="66" spans="1:31" s="415" customFormat="1" ht="15" customHeight="1" x14ac:dyDescent="0.25">
      <c r="A66" s="1"/>
      <c r="B66" s="1"/>
      <c r="C66" s="412"/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12"/>
      <c r="Q66" s="412"/>
      <c r="R66" s="413"/>
      <c r="S66" s="412"/>
      <c r="T66" s="412"/>
      <c r="U66" s="412"/>
      <c r="V66" s="413"/>
      <c r="W66" s="429"/>
      <c r="X66" s="414"/>
      <c r="Y66" s="414"/>
      <c r="Z66" s="414"/>
      <c r="AA66" s="414"/>
      <c r="AB66" s="414"/>
      <c r="AC66" s="414"/>
      <c r="AD66" s="414"/>
      <c r="AE66" s="414"/>
    </row>
    <row r="67" spans="1:31" s="412" customFormat="1" ht="15" hidden="1" customHeight="1" x14ac:dyDescent="0.2">
      <c r="A67" s="412" t="s">
        <v>155</v>
      </c>
      <c r="C67" s="424" t="str">
        <f>IF(AND($C$14&lt;=EOMONTH(C$21,0),OR($C$15&gt;=C$21,$C$15=""),$F$17&lt;=C$21),"oui","no")</f>
        <v>no</v>
      </c>
      <c r="D67" s="424" t="str">
        <f t="shared" ref="D67:H67" si="59">IF(AND($C$14&lt;=EOMONTH(D$21,0),OR($C$15&gt;=D$21,$C$15=""),$F$17&lt;=D$21),"oui","no")</f>
        <v>no</v>
      </c>
      <c r="E67" s="424" t="str">
        <f t="shared" si="59"/>
        <v>no</v>
      </c>
      <c r="F67" s="424" t="str">
        <f t="shared" si="59"/>
        <v>no</v>
      </c>
      <c r="G67" s="424" t="str">
        <f t="shared" si="59"/>
        <v>no</v>
      </c>
      <c r="H67" s="424" t="str">
        <f t="shared" si="59"/>
        <v>no</v>
      </c>
      <c r="I67" s="424"/>
      <c r="J67" s="424"/>
      <c r="K67" s="424" t="str">
        <f>IF(AND($C$14&lt;=EOMONTH(K$21,0),OR($C$15&gt;=K$21,$C$15=""),$F$17&lt;=K$21),"oui","no")</f>
        <v>no</v>
      </c>
      <c r="L67" s="424" t="str">
        <f t="shared" ref="L67:P67" si="60">IF(AND($C$14&lt;=EOMONTH(L$21,0),OR($C$15&gt;=L$21,$C$15=""),$F$17&lt;=L$21),"oui","no")</f>
        <v>no</v>
      </c>
      <c r="M67" s="424" t="str">
        <f t="shared" si="60"/>
        <v>no</v>
      </c>
      <c r="N67" s="424" t="str">
        <f t="shared" si="60"/>
        <v>no</v>
      </c>
      <c r="O67" s="424" t="str">
        <f t="shared" si="60"/>
        <v>no</v>
      </c>
      <c r="P67" s="424" t="str">
        <f t="shared" si="60"/>
        <v>no</v>
      </c>
      <c r="X67" s="416"/>
      <c r="Y67" s="416"/>
      <c r="Z67" s="416"/>
      <c r="AA67" s="416"/>
      <c r="AB67" s="416"/>
      <c r="AC67" s="416"/>
      <c r="AD67" s="416"/>
      <c r="AE67" s="416"/>
    </row>
    <row r="68" spans="1:31" s="412" customFormat="1" ht="10" hidden="1" x14ac:dyDescent="0.2">
      <c r="X68" s="416"/>
      <c r="Y68" s="416"/>
      <c r="Z68" s="416"/>
      <c r="AA68" s="416"/>
      <c r="AB68" s="416"/>
      <c r="AC68" s="416"/>
      <c r="AD68" s="416"/>
      <c r="AE68" s="416"/>
    </row>
    <row r="69" spans="1:31" s="412" customFormat="1" ht="10.5" hidden="1" x14ac:dyDescent="0.25">
      <c r="A69" s="417"/>
      <c r="C69" s="418">
        <f>C$21</f>
        <v>46023</v>
      </c>
      <c r="D69" s="418">
        <f t="shared" ref="D69:H69" si="61">D$21</f>
        <v>46054</v>
      </c>
      <c r="E69" s="418">
        <f t="shared" si="61"/>
        <v>46082</v>
      </c>
      <c r="F69" s="418">
        <f t="shared" si="61"/>
        <v>46113</v>
      </c>
      <c r="G69" s="418">
        <f t="shared" si="61"/>
        <v>46143</v>
      </c>
      <c r="H69" s="418">
        <f t="shared" si="61"/>
        <v>46174</v>
      </c>
      <c r="K69" s="418">
        <f>K$21</f>
        <v>46204</v>
      </c>
      <c r="L69" s="418">
        <f t="shared" ref="L69:P69" si="62">L$21</f>
        <v>46235</v>
      </c>
      <c r="M69" s="418">
        <f t="shared" si="62"/>
        <v>46266</v>
      </c>
      <c r="N69" s="418">
        <f t="shared" si="62"/>
        <v>46296</v>
      </c>
      <c r="O69" s="418">
        <f t="shared" si="62"/>
        <v>46327</v>
      </c>
      <c r="P69" s="418">
        <f t="shared" si="62"/>
        <v>46357</v>
      </c>
      <c r="X69" s="416"/>
      <c r="Y69" s="416"/>
      <c r="Z69" s="416"/>
      <c r="AA69" s="416"/>
      <c r="AB69" s="416"/>
      <c r="AC69" s="416"/>
      <c r="AD69" s="416"/>
      <c r="AE69" s="416"/>
    </row>
    <row r="70" spans="1:31" s="412" customFormat="1" ht="10.5" hidden="1" x14ac:dyDescent="0.25">
      <c r="A70" s="419" t="s">
        <v>156</v>
      </c>
      <c r="C70" s="419">
        <f t="shared" ref="C70:H70" si="63">IF($C$16="Salaire horaire",SUM(C$27,C$29,C$30,C$31,C$32,C$33,C$34),SUM(C$22,C$23,C$30,C$31,C$32,C$33,C$34))</f>
        <v>0</v>
      </c>
      <c r="D70" s="419">
        <f t="shared" si="63"/>
        <v>0</v>
      </c>
      <c r="E70" s="419">
        <f t="shared" si="63"/>
        <v>0</v>
      </c>
      <c r="F70" s="419">
        <f t="shared" si="63"/>
        <v>0</v>
      </c>
      <c r="G70" s="419">
        <f t="shared" si="63"/>
        <v>0</v>
      </c>
      <c r="H70" s="419">
        <f t="shared" si="63"/>
        <v>0</v>
      </c>
      <c r="K70" s="419">
        <f t="shared" ref="K70:P70" si="64">IF($C$16="Salaire horaire",SUM(K$27,K$29,K$30,K$31,K$32,K$33,K$34),SUM(K$22,K$23,K$30,K$31,K$32,K$33,K$34))</f>
        <v>0</v>
      </c>
      <c r="L70" s="419">
        <f t="shared" si="64"/>
        <v>0</v>
      </c>
      <c r="M70" s="419">
        <f t="shared" si="64"/>
        <v>0</v>
      </c>
      <c r="N70" s="419">
        <f t="shared" si="64"/>
        <v>0</v>
      </c>
      <c r="O70" s="419">
        <f t="shared" si="64"/>
        <v>0</v>
      </c>
      <c r="P70" s="419">
        <f t="shared" si="64"/>
        <v>0</v>
      </c>
      <c r="X70" s="416"/>
      <c r="Y70" s="416"/>
      <c r="Z70" s="416"/>
      <c r="AA70" s="416"/>
      <c r="AB70" s="416"/>
      <c r="AC70" s="416"/>
      <c r="AD70" s="416"/>
      <c r="AE70" s="416"/>
    </row>
    <row r="71" spans="1:31" s="412" customFormat="1" ht="10.5" hidden="1" x14ac:dyDescent="0.25">
      <c r="A71" s="419" t="s">
        <v>157</v>
      </c>
      <c r="C71" s="419">
        <f>IF(C$73=0,0,C$70)</f>
        <v>0</v>
      </c>
      <c r="D71" s="419">
        <f>IF(D$73=0,0,D$70+C$71)</f>
        <v>0</v>
      </c>
      <c r="E71" s="419">
        <f t="shared" ref="E71:G71" si="65">IF(E$73=0,0,E$70+D$71)</f>
        <v>0</v>
      </c>
      <c r="F71" s="419">
        <f t="shared" si="65"/>
        <v>0</v>
      </c>
      <c r="G71" s="419">
        <f t="shared" si="65"/>
        <v>0</v>
      </c>
      <c r="H71" s="419">
        <f>IF(H$73=0,0,H$70+G$71)</f>
        <v>0</v>
      </c>
      <c r="K71" s="419">
        <f>IF(K$73=0,0,K$70+H$71)</f>
        <v>0</v>
      </c>
      <c r="L71" s="419">
        <f>IF(L$73=0,0,L$70+K$71)</f>
        <v>0</v>
      </c>
      <c r="M71" s="419">
        <f t="shared" ref="M71:P71" si="66">IF(M$73=0,0,M$70+L$71)</f>
        <v>0</v>
      </c>
      <c r="N71" s="419">
        <f t="shared" si="66"/>
        <v>0</v>
      </c>
      <c r="O71" s="419">
        <f t="shared" si="66"/>
        <v>0</v>
      </c>
      <c r="P71" s="419">
        <f t="shared" si="66"/>
        <v>0</v>
      </c>
      <c r="X71" s="416"/>
      <c r="Y71" s="416"/>
      <c r="Z71" s="416"/>
      <c r="AA71" s="416"/>
      <c r="AB71" s="416"/>
      <c r="AC71" s="416"/>
      <c r="AD71" s="416"/>
      <c r="AE71" s="416"/>
    </row>
    <row r="72" spans="1:31" s="412" customFormat="1" ht="10.5" hidden="1" x14ac:dyDescent="0.25">
      <c r="A72" s="419"/>
      <c r="C72" s="419"/>
      <c r="D72" s="419"/>
      <c r="E72" s="419"/>
      <c r="F72" s="419"/>
      <c r="G72" s="419"/>
      <c r="H72" s="419"/>
      <c r="K72" s="419"/>
      <c r="L72" s="419"/>
      <c r="M72" s="419"/>
      <c r="N72" s="419"/>
      <c r="O72" s="419"/>
      <c r="P72" s="419"/>
      <c r="X72" s="416"/>
      <c r="Y72" s="416"/>
      <c r="Z72" s="416"/>
      <c r="AA72" s="416"/>
      <c r="AB72" s="416"/>
      <c r="AC72" s="416"/>
      <c r="AD72" s="416"/>
      <c r="AE72" s="416"/>
    </row>
    <row r="73" spans="1:31" s="412" customFormat="1" ht="10.5" hidden="1" x14ac:dyDescent="0.25">
      <c r="A73" s="419" t="s">
        <v>6</v>
      </c>
      <c r="C73" s="419">
        <f>IF(C$67="oui",Grundlagen!$B$7,0)</f>
        <v>0</v>
      </c>
      <c r="D73" s="419">
        <f>IF(D$67="oui",Grundlagen!$B$7,0)</f>
        <v>0</v>
      </c>
      <c r="E73" s="419">
        <f>IF(E$67="oui",Grundlagen!$B$7,0)</f>
        <v>0</v>
      </c>
      <c r="F73" s="419">
        <f>IF(F$67="oui",Grundlagen!$B$7,0)</f>
        <v>0</v>
      </c>
      <c r="G73" s="419">
        <f>IF(G$67="oui",Grundlagen!$B$7,0)</f>
        <v>0</v>
      </c>
      <c r="H73" s="419">
        <f>IF(H$67="oui",Grundlagen!$B$7,0)</f>
        <v>0</v>
      </c>
      <c r="K73" s="419">
        <f>IF(K$67="oui",Grundlagen!$B$7,0)</f>
        <v>0</v>
      </c>
      <c r="L73" s="419">
        <f>IF(L$67="oui",Grundlagen!$B$7,0)</f>
        <v>0</v>
      </c>
      <c r="M73" s="419">
        <f>IF(M$67="oui",Grundlagen!$B$7,0)</f>
        <v>0</v>
      </c>
      <c r="N73" s="419">
        <f>IF(N$67="oui",Grundlagen!$B$7,0)</f>
        <v>0</v>
      </c>
      <c r="O73" s="419">
        <f>IF(O$67="oui",Grundlagen!$B$7,0)</f>
        <v>0</v>
      </c>
      <c r="P73" s="419">
        <f>IF(P$67="oui",Grundlagen!$B$7,0)</f>
        <v>0</v>
      </c>
      <c r="X73" s="416"/>
      <c r="Y73" s="416"/>
      <c r="Z73" s="416"/>
      <c r="AA73" s="416"/>
      <c r="AB73" s="416"/>
      <c r="AC73" s="416"/>
      <c r="AD73" s="416"/>
      <c r="AE73" s="416"/>
    </row>
    <row r="74" spans="1:31" s="412" customFormat="1" ht="10.5" hidden="1" x14ac:dyDescent="0.25">
      <c r="A74" s="419" t="s">
        <v>158</v>
      </c>
      <c r="C74" s="419">
        <f>C$73</f>
        <v>0</v>
      </c>
      <c r="D74" s="419">
        <f>C$74+D$73</f>
        <v>0</v>
      </c>
      <c r="E74" s="419">
        <f t="shared" ref="E74:H74" si="67">D$74+E$73</f>
        <v>0</v>
      </c>
      <c r="F74" s="419">
        <f t="shared" si="67"/>
        <v>0</v>
      </c>
      <c r="G74" s="419">
        <f t="shared" si="67"/>
        <v>0</v>
      </c>
      <c r="H74" s="419">
        <f t="shared" si="67"/>
        <v>0</v>
      </c>
      <c r="K74" s="419">
        <f>H$74+K$73</f>
        <v>0</v>
      </c>
      <c r="L74" s="419">
        <f>K$74+L$73</f>
        <v>0</v>
      </c>
      <c r="M74" s="419">
        <f t="shared" ref="M74:P74" si="68">L$74+M$73</f>
        <v>0</v>
      </c>
      <c r="N74" s="419">
        <f t="shared" si="68"/>
        <v>0</v>
      </c>
      <c r="O74" s="419">
        <f t="shared" si="68"/>
        <v>0</v>
      </c>
      <c r="P74" s="419">
        <f t="shared" si="68"/>
        <v>0</v>
      </c>
      <c r="X74" s="416"/>
      <c r="Y74" s="416"/>
      <c r="Z74" s="416"/>
      <c r="AA74" s="416"/>
      <c r="AB74" s="416"/>
      <c r="AC74" s="416"/>
      <c r="AD74" s="416"/>
      <c r="AE74" s="416"/>
    </row>
    <row r="75" spans="1:31" s="412" customFormat="1" ht="10.5" hidden="1" x14ac:dyDescent="0.25">
      <c r="A75" s="419"/>
      <c r="C75" s="419"/>
      <c r="D75" s="419"/>
      <c r="E75" s="419"/>
      <c r="F75" s="419"/>
      <c r="G75" s="419"/>
      <c r="H75" s="419"/>
      <c r="K75" s="419"/>
      <c r="L75" s="419"/>
      <c r="M75" s="419"/>
      <c r="N75" s="419"/>
      <c r="O75" s="419"/>
      <c r="P75" s="419"/>
      <c r="X75" s="416"/>
      <c r="Y75" s="416"/>
      <c r="Z75" s="416"/>
      <c r="AA75" s="416"/>
      <c r="AB75" s="416"/>
      <c r="AC75" s="416"/>
      <c r="AD75" s="416"/>
      <c r="AE75" s="416"/>
    </row>
    <row r="76" spans="1:31" s="412" customFormat="1" ht="10.5" hidden="1" x14ac:dyDescent="0.25">
      <c r="A76" s="419" t="s">
        <v>159</v>
      </c>
      <c r="C76" s="419">
        <f>IF(C$71&gt;C$74,C$71-C$74,0)</f>
        <v>0</v>
      </c>
      <c r="D76" s="419">
        <f t="shared" ref="D76:H76" si="69">IF(D$71&gt;D$74,D$71-D$74,0)</f>
        <v>0</v>
      </c>
      <c r="E76" s="419">
        <f t="shared" si="69"/>
        <v>0</v>
      </c>
      <c r="F76" s="419">
        <f t="shared" si="69"/>
        <v>0</v>
      </c>
      <c r="G76" s="419">
        <f t="shared" si="69"/>
        <v>0</v>
      </c>
      <c r="H76" s="419">
        <f t="shared" si="69"/>
        <v>0</v>
      </c>
      <c r="K76" s="419">
        <f>IF(K$71&gt;K$74,K$71-K$74,0)</f>
        <v>0</v>
      </c>
      <c r="L76" s="419">
        <f t="shared" ref="L76:P76" si="70">IF(L$71&gt;L$74,L$71-L$74,0)</f>
        <v>0</v>
      </c>
      <c r="M76" s="419">
        <f t="shared" si="70"/>
        <v>0</v>
      </c>
      <c r="N76" s="419">
        <f t="shared" si="70"/>
        <v>0</v>
      </c>
      <c r="O76" s="419">
        <f t="shared" si="70"/>
        <v>0</v>
      </c>
      <c r="P76" s="419">
        <f t="shared" si="70"/>
        <v>0</v>
      </c>
      <c r="X76" s="416"/>
      <c r="Y76" s="416"/>
      <c r="Z76" s="416"/>
      <c r="AA76" s="416"/>
      <c r="AB76" s="416"/>
      <c r="AC76" s="416"/>
      <c r="AD76" s="416"/>
      <c r="AE76" s="416"/>
    </row>
    <row r="77" spans="1:31" s="412" customFormat="1" ht="10.5" hidden="1" x14ac:dyDescent="0.25">
      <c r="A77" s="419" t="s">
        <v>160</v>
      </c>
      <c r="C77" s="419">
        <f>C$79</f>
        <v>0</v>
      </c>
      <c r="D77" s="419">
        <f>C$77+D$79</f>
        <v>0</v>
      </c>
      <c r="E77" s="419">
        <f t="shared" ref="E77:H77" si="71">D$77+E$79</f>
        <v>0</v>
      </c>
      <c r="F77" s="419">
        <f t="shared" si="71"/>
        <v>0</v>
      </c>
      <c r="G77" s="419">
        <f t="shared" si="71"/>
        <v>0</v>
      </c>
      <c r="H77" s="419">
        <f t="shared" si="71"/>
        <v>0</v>
      </c>
      <c r="K77" s="419">
        <f>H$77+K$79</f>
        <v>0</v>
      </c>
      <c r="L77" s="419">
        <f>K$77+L$79</f>
        <v>0</v>
      </c>
      <c r="M77" s="419">
        <f t="shared" ref="M77:P77" si="72">L$77+M$79</f>
        <v>0</v>
      </c>
      <c r="N77" s="419">
        <f t="shared" si="72"/>
        <v>0</v>
      </c>
      <c r="O77" s="419">
        <f t="shared" si="72"/>
        <v>0</v>
      </c>
      <c r="P77" s="419">
        <f t="shared" si="72"/>
        <v>0</v>
      </c>
      <c r="X77" s="416"/>
      <c r="Y77" s="416"/>
      <c r="Z77" s="416"/>
      <c r="AA77" s="416"/>
      <c r="AB77" s="416"/>
      <c r="AC77" s="416"/>
      <c r="AD77" s="416"/>
      <c r="AE77" s="416"/>
    </row>
    <row r="78" spans="1:31" s="412" customFormat="1" ht="10.5" hidden="1" x14ac:dyDescent="0.25">
      <c r="A78" s="419"/>
      <c r="C78" s="419"/>
      <c r="D78" s="419"/>
      <c r="E78" s="419"/>
      <c r="F78" s="419"/>
      <c r="G78" s="419"/>
      <c r="H78" s="419"/>
      <c r="K78" s="419"/>
      <c r="L78" s="419"/>
      <c r="M78" s="419"/>
      <c r="N78" s="419"/>
      <c r="O78" s="419"/>
      <c r="P78" s="419"/>
      <c r="X78" s="416"/>
      <c r="Y78" s="416"/>
      <c r="Z78" s="416"/>
      <c r="AA78" s="416"/>
      <c r="AB78" s="416"/>
      <c r="AC78" s="416"/>
      <c r="AD78" s="416"/>
      <c r="AE78" s="416"/>
    </row>
    <row r="79" spans="1:31" s="412" customFormat="1" ht="10.5" hidden="1" x14ac:dyDescent="0.25">
      <c r="A79" s="420" t="s">
        <v>161</v>
      </c>
      <c r="C79" s="419">
        <f>IF(C$70=0,0,C$76)</f>
        <v>0</v>
      </c>
      <c r="D79" s="420">
        <f>IF(D$70=0,0,D$76-C$77)</f>
        <v>0</v>
      </c>
      <c r="E79" s="420">
        <f t="shared" ref="E79:H79" si="73">IF(E$70=0,0,E$76-D$77)</f>
        <v>0</v>
      </c>
      <c r="F79" s="420">
        <f t="shared" si="73"/>
        <v>0</v>
      </c>
      <c r="G79" s="420">
        <f t="shared" si="73"/>
        <v>0</v>
      </c>
      <c r="H79" s="420">
        <f t="shared" si="73"/>
        <v>0</v>
      </c>
      <c r="K79" s="420">
        <f>IF(K$70=0,0,K$76-H$77)</f>
        <v>0</v>
      </c>
      <c r="L79" s="420">
        <f t="shared" ref="L79:P79" si="74">IF(L$70=0,0,L$76-K$77)</f>
        <v>0</v>
      </c>
      <c r="M79" s="420">
        <f t="shared" si="74"/>
        <v>0</v>
      </c>
      <c r="N79" s="420">
        <f t="shared" si="74"/>
        <v>0</v>
      </c>
      <c r="O79" s="420">
        <f t="shared" si="74"/>
        <v>0</v>
      </c>
      <c r="P79" s="420">
        <f t="shared" si="74"/>
        <v>0</v>
      </c>
      <c r="X79" s="416"/>
      <c r="Y79" s="416"/>
      <c r="Z79" s="416"/>
      <c r="AA79" s="416"/>
      <c r="AB79" s="416"/>
      <c r="AC79" s="416"/>
      <c r="AD79" s="416"/>
      <c r="AE79" s="416"/>
    </row>
    <row r="80" spans="1:31" s="412" customFormat="1" ht="10.5" hidden="1" x14ac:dyDescent="0.25">
      <c r="A80" s="421" t="s">
        <v>6</v>
      </c>
      <c r="C80" s="421">
        <f>ROUND((IF(C$73=0,0,C$79-C$70)*-1)/5,2)*5</f>
        <v>0</v>
      </c>
      <c r="D80" s="421">
        <f>ROUND((IF(D$73=0,0,D$79-D$70)*-1)/5,2)*5</f>
        <v>0</v>
      </c>
      <c r="E80" s="421">
        <f t="shared" ref="E80:H80" si="75">ROUND((IF(E$73=0,0,E$79-E$70)*-1)/5,2)*5</f>
        <v>0</v>
      </c>
      <c r="F80" s="421">
        <f t="shared" si="75"/>
        <v>0</v>
      </c>
      <c r="G80" s="421">
        <f t="shared" si="75"/>
        <v>0</v>
      </c>
      <c r="H80" s="421">
        <f t="shared" si="75"/>
        <v>0</v>
      </c>
      <c r="K80" s="421">
        <f t="shared" ref="K80:P80" si="76">ROUND((IF(K$73=0,0,K$79-K$70)*-1)/5,2)*5</f>
        <v>0</v>
      </c>
      <c r="L80" s="421">
        <f t="shared" si="76"/>
        <v>0</v>
      </c>
      <c r="M80" s="421">
        <f t="shared" si="76"/>
        <v>0</v>
      </c>
      <c r="N80" s="421">
        <f t="shared" si="76"/>
        <v>0</v>
      </c>
      <c r="O80" s="421">
        <f t="shared" si="76"/>
        <v>0</v>
      </c>
      <c r="P80" s="421">
        <f t="shared" si="76"/>
        <v>0</v>
      </c>
      <c r="X80" s="416"/>
      <c r="Y80" s="416"/>
      <c r="Z80" s="416"/>
      <c r="AA80" s="416"/>
      <c r="AB80" s="416"/>
      <c r="AC80" s="416"/>
      <c r="AD80" s="416"/>
      <c r="AE80" s="416"/>
    </row>
    <row r="81" spans="1:31" s="412" customFormat="1" ht="10.5" hidden="1" x14ac:dyDescent="0.25">
      <c r="A81" s="420" t="s">
        <v>162</v>
      </c>
      <c r="C81" s="419">
        <f t="shared" ref="C81:H81" si="77">IF(C$67="oui",0,C$39)</f>
        <v>0</v>
      </c>
      <c r="D81" s="419">
        <f t="shared" si="77"/>
        <v>0</v>
      </c>
      <c r="E81" s="419">
        <f t="shared" si="77"/>
        <v>0</v>
      </c>
      <c r="F81" s="419">
        <f t="shared" si="77"/>
        <v>0</v>
      </c>
      <c r="G81" s="419">
        <f t="shared" si="77"/>
        <v>0</v>
      </c>
      <c r="H81" s="419">
        <f t="shared" si="77"/>
        <v>0</v>
      </c>
      <c r="K81" s="419">
        <f t="shared" ref="K81:P81" si="78">IF(K$67="oui",0,K$39)</f>
        <v>0</v>
      </c>
      <c r="L81" s="419">
        <f t="shared" si="78"/>
        <v>0</v>
      </c>
      <c r="M81" s="419">
        <f t="shared" si="78"/>
        <v>0</v>
      </c>
      <c r="N81" s="419">
        <f t="shared" si="78"/>
        <v>0</v>
      </c>
      <c r="O81" s="419">
        <f t="shared" si="78"/>
        <v>0</v>
      </c>
      <c r="P81" s="419">
        <f t="shared" si="78"/>
        <v>0</v>
      </c>
      <c r="Q81" s="430">
        <f>SUM(C81:P81)</f>
        <v>0</v>
      </c>
      <c r="X81" s="416"/>
      <c r="Y81" s="416"/>
      <c r="Z81" s="416"/>
      <c r="AA81" s="416"/>
      <c r="AB81" s="416"/>
      <c r="AC81" s="416"/>
      <c r="AD81" s="416"/>
      <c r="AE81" s="416"/>
    </row>
    <row r="82" spans="1:31" s="412" customFormat="1" ht="10" x14ac:dyDescent="0.2">
      <c r="X82" s="416"/>
      <c r="Y82" s="416"/>
      <c r="Z82" s="416"/>
      <c r="AA82" s="416"/>
      <c r="AB82" s="416"/>
      <c r="AC82" s="416"/>
      <c r="AD82" s="416"/>
      <c r="AE82" s="416"/>
    </row>
    <row r="83" spans="1:31" s="412" customFormat="1" ht="10" x14ac:dyDescent="0.2">
      <c r="X83" s="416"/>
      <c r="Y83" s="416"/>
      <c r="Z83" s="416"/>
      <c r="AA83" s="416"/>
      <c r="AB83" s="416"/>
      <c r="AC83" s="416"/>
      <c r="AD83" s="416"/>
      <c r="AE83" s="416"/>
    </row>
  </sheetData>
  <sheetProtection algorithmName="SHA-512" hashValue="FrJuVvTn7+eOvaKOTEHRC+ydAiJUdt04sr0o2FkRQkS3DI3BFFm5z5f12Tx5wryJ+TxjbTnwFh3XNxzxxlfoOA==" saltValue="hoFJ4bD1fK/0TQYSZeSWqQ==" spinCount="100000" sheet="1" objects="1" scenarios="1"/>
  <mergeCells count="48">
    <mergeCell ref="O52:O53"/>
    <mergeCell ref="P52:P53"/>
    <mergeCell ref="S24:U26"/>
    <mergeCell ref="S28:U30"/>
    <mergeCell ref="S31:U32"/>
    <mergeCell ref="S33:U35"/>
    <mergeCell ref="S36:U40"/>
    <mergeCell ref="S41:U43"/>
    <mergeCell ref="AB4:AB5"/>
    <mergeCell ref="AC4:AC5"/>
    <mergeCell ref="AD4:AD5"/>
    <mergeCell ref="AH4:AI5"/>
    <mergeCell ref="C6:D6"/>
    <mergeCell ref="F6:G6"/>
    <mergeCell ref="P1:Q3"/>
    <mergeCell ref="A2:C2"/>
    <mergeCell ref="I2:K2"/>
    <mergeCell ref="Y2:Y5"/>
    <mergeCell ref="AA2:AA5"/>
    <mergeCell ref="S4:T4"/>
    <mergeCell ref="X4:X5"/>
    <mergeCell ref="Z4:Z5"/>
    <mergeCell ref="A1:C1"/>
    <mergeCell ref="D1:F2"/>
    <mergeCell ref="G1:H3"/>
    <mergeCell ref="I1:K1"/>
    <mergeCell ref="L1:N2"/>
    <mergeCell ref="C52:C53"/>
    <mergeCell ref="D52:D53"/>
    <mergeCell ref="E52:E53"/>
    <mergeCell ref="F52:F53"/>
    <mergeCell ref="G52:G53"/>
    <mergeCell ref="H52:H53"/>
    <mergeCell ref="K52:K53"/>
    <mergeCell ref="L52:L53"/>
    <mergeCell ref="M52:M53"/>
    <mergeCell ref="N52:N53"/>
    <mergeCell ref="S18:U18"/>
    <mergeCell ref="S20:U22"/>
    <mergeCell ref="C7:D7"/>
    <mergeCell ref="F7:G7"/>
    <mergeCell ref="F14:G14"/>
    <mergeCell ref="F15:G15"/>
    <mergeCell ref="F16:G16"/>
    <mergeCell ref="C8:D8"/>
    <mergeCell ref="F8:G8"/>
    <mergeCell ref="C9:D9"/>
    <mergeCell ref="F9:G9"/>
  </mergeCells>
  <conditionalFormatting sqref="A25">
    <cfRule type="beginsWith" dxfId="262" priority="34" operator="beginsWith" text="Nom">
      <formula>LEFT(A25,LEN("Nom"))="Nom"</formula>
    </cfRule>
  </conditionalFormatting>
  <conditionalFormatting sqref="A26">
    <cfRule type="containsText" dxfId="261" priority="8" operator="containsText" text="Nombre d'heures">
      <formula>NOT(ISERROR(SEARCH("Nombre d'heures",A26)))</formula>
    </cfRule>
  </conditionalFormatting>
  <conditionalFormatting sqref="A28">
    <cfRule type="containsText" dxfId="260" priority="36" operator="containsText" text="Nombre d'heures II">
      <formula>NOT(ISERROR(SEARCH("Nombre d'heures II",A28)))</formula>
    </cfRule>
  </conditionalFormatting>
  <conditionalFormatting sqref="A24:B24">
    <cfRule type="expression" dxfId="259" priority="33">
      <formula>$G$11="oui"</formula>
    </cfRule>
  </conditionalFormatting>
  <conditionalFormatting sqref="A25:B25">
    <cfRule type="expression" dxfId="258" priority="31">
      <formula>$P$10&gt;0.1</formula>
    </cfRule>
  </conditionalFormatting>
  <conditionalFormatting sqref="A50:B50">
    <cfRule type="expression" dxfId="257" priority="32">
      <formula>$G$11="ja"</formula>
    </cfRule>
  </conditionalFormatting>
  <conditionalFormatting sqref="A60:B64">
    <cfRule type="expression" dxfId="256" priority="27">
      <formula>$G$12="non"</formula>
    </cfRule>
  </conditionalFormatting>
  <conditionalFormatting sqref="B25">
    <cfRule type="beginsWith" dxfId="255" priority="28" operator="beginsWith" text="Nb">
      <formula>LEFT(B25,LEN("Nb"))="Nb"</formula>
    </cfRule>
  </conditionalFormatting>
  <conditionalFormatting sqref="B26">
    <cfRule type="containsText" dxfId="254" priority="7" operator="containsText" text="h">
      <formula>NOT(ISERROR(SEARCH("h",B26)))</formula>
    </cfRule>
  </conditionalFormatting>
  <conditionalFormatting sqref="B28">
    <cfRule type="containsText" dxfId="253" priority="29" operator="containsText" text="h">
      <formula>NOT(ISERROR(SEARCH("h",B28)))</formula>
    </cfRule>
  </conditionalFormatting>
  <conditionalFormatting sqref="C17">
    <cfRule type="expression" dxfId="252" priority="83">
      <formula>$A$17="13ème salaire"</formula>
    </cfRule>
  </conditionalFormatting>
  <conditionalFormatting sqref="C22:H22">
    <cfRule type="cellIs" dxfId="251" priority="20" operator="greaterThan">
      <formula>1</formula>
    </cfRule>
  </conditionalFormatting>
  <conditionalFormatting sqref="C23:H23 K23:P23">
    <cfRule type="expression" dxfId="250" priority="48">
      <formula>$B$23="CHF"</formula>
    </cfRule>
  </conditionalFormatting>
  <conditionalFormatting sqref="C24:H24 K24:P24">
    <cfRule type="expression" dxfId="249" priority="73">
      <formula>$G$11="ja"</formula>
    </cfRule>
  </conditionalFormatting>
  <conditionalFormatting sqref="C25:H25 K25:P25">
    <cfRule type="expression" dxfId="248" priority="59">
      <formula>$B$25="Anz."</formula>
    </cfRule>
  </conditionalFormatting>
  <conditionalFormatting sqref="C26:H26">
    <cfRule type="expression" dxfId="247" priority="10">
      <formula>$G$12="oui"</formula>
    </cfRule>
    <cfRule type="expression" dxfId="246" priority="11">
      <formula>$C$16="Salaire horaire"</formula>
    </cfRule>
  </conditionalFormatting>
  <conditionalFormatting sqref="C28:H28 K28:P28">
    <cfRule type="expression" dxfId="245" priority="74">
      <formula>$G$10="Ja"</formula>
    </cfRule>
  </conditionalFormatting>
  <conditionalFormatting sqref="C50:H50">
    <cfRule type="expression" dxfId="244" priority="66">
      <formula>C51&lt;-0.01</formula>
    </cfRule>
    <cfRule type="expression" dxfId="243" priority="65">
      <formula>C51&gt;0.01</formula>
    </cfRule>
  </conditionalFormatting>
  <conditionalFormatting sqref="C51:H51">
    <cfRule type="cellIs" dxfId="242" priority="70" operator="greaterThan">
      <formula>0.04</formula>
    </cfRule>
    <cfRule type="cellIs" dxfId="241" priority="69" operator="lessThan">
      <formula>-0.04</formula>
    </cfRule>
  </conditionalFormatting>
  <conditionalFormatting sqref="C60:Q63 C64:P64">
    <cfRule type="expression" dxfId="240" priority="62">
      <formula>$G$12="nein"</formula>
    </cfRule>
  </conditionalFormatting>
  <conditionalFormatting sqref="G1">
    <cfRule type="containsText" dxfId="239" priority="117" operator="containsText" text="Achtung Fehler">
      <formula>NOT(ISERROR(SEARCH("Achtung Fehler",G1)))</formula>
    </cfRule>
  </conditionalFormatting>
  <conditionalFormatting sqref="G10">
    <cfRule type="expression" dxfId="238" priority="52">
      <formula>$C$16="Salaire horaire"</formula>
    </cfRule>
  </conditionalFormatting>
  <conditionalFormatting sqref="H17:H18">
    <cfRule type="beginsWith" dxfId="237" priority="44" operator="beginsWith" text="ATT">
      <formula>LEFT(H17,LEN("ATT"))="ATT"</formula>
    </cfRule>
  </conditionalFormatting>
  <conditionalFormatting sqref="I25">
    <cfRule type="beginsWith" dxfId="236" priority="50" operator="beginsWith" text="Nom">
      <formula>LEFT(I25,LEN("Nom"))="Nom"</formula>
    </cfRule>
  </conditionalFormatting>
  <conditionalFormatting sqref="I26">
    <cfRule type="containsText" dxfId="235" priority="13" operator="containsText" text="Nombre d'heures">
      <formula>NOT(ISERROR(SEARCH("Nombre d'heures",I26)))</formula>
    </cfRule>
  </conditionalFormatting>
  <conditionalFormatting sqref="I28">
    <cfRule type="containsText" dxfId="234" priority="58" operator="containsText" text="Nombre d'heures II">
      <formula>NOT(ISERROR(SEARCH("Nombre d'heures II",I28)))</formula>
    </cfRule>
  </conditionalFormatting>
  <conditionalFormatting sqref="I24:J24">
    <cfRule type="expression" dxfId="233" priority="61">
      <formula>$G$11="oui"</formula>
    </cfRule>
  </conditionalFormatting>
  <conditionalFormatting sqref="I25:J25">
    <cfRule type="expression" dxfId="232" priority="51">
      <formula>$P$10&gt;0.1</formula>
    </cfRule>
  </conditionalFormatting>
  <conditionalFormatting sqref="I50:J50">
    <cfRule type="expression" dxfId="231" priority="60">
      <formula>$G$11="ja"</formula>
    </cfRule>
  </conditionalFormatting>
  <conditionalFormatting sqref="J25">
    <cfRule type="beginsWith" dxfId="230" priority="49" operator="beginsWith" text="Anz">
      <formula>LEFT(J25,LEN("Anz"))="Anz"</formula>
    </cfRule>
  </conditionalFormatting>
  <conditionalFormatting sqref="J26">
    <cfRule type="containsText" dxfId="229" priority="12" operator="containsText" text="h">
      <formula>NOT(ISERROR(SEARCH("h",J26)))</formula>
    </cfRule>
  </conditionalFormatting>
  <conditionalFormatting sqref="J28">
    <cfRule type="containsText" dxfId="228" priority="53" operator="containsText" text="Std.">
      <formula>NOT(ISERROR(SEARCH("Std.",J28)))</formula>
    </cfRule>
    <cfRule type="containsText" dxfId="227" priority="54" operator="containsText" text="Std.">
      <formula>NOT(ISERROR(SEARCH("Std.",J28)))</formula>
    </cfRule>
    <cfRule type="containsText" dxfId="226" priority="55" operator="containsText" text="Std.">
      <formula>NOT(ISERROR(SEARCH("Std.",J28)))</formula>
    </cfRule>
  </conditionalFormatting>
  <conditionalFormatting sqref="K22:P22">
    <cfRule type="cellIs" dxfId="225" priority="21" operator="greaterThan">
      <formula>1</formula>
    </cfRule>
  </conditionalFormatting>
  <conditionalFormatting sqref="K26:P26">
    <cfRule type="expression" dxfId="224" priority="14">
      <formula>$G$12="oui"</formula>
    </cfRule>
    <cfRule type="expression" dxfId="223" priority="15">
      <formula>$C$16="Salaire horaire"</formula>
    </cfRule>
  </conditionalFormatting>
  <conditionalFormatting sqref="K50:P50">
    <cfRule type="expression" dxfId="222" priority="63">
      <formula>K51&gt;0.01</formula>
    </cfRule>
    <cfRule type="expression" dxfId="221" priority="64">
      <formula>K51&lt;-0.01</formula>
    </cfRule>
  </conditionalFormatting>
  <conditionalFormatting sqref="K51:P51">
    <cfRule type="cellIs" dxfId="220" priority="67" operator="lessThan">
      <formula>-0.04</formula>
    </cfRule>
    <cfRule type="cellIs" dxfId="219" priority="68" operator="greaterThan">
      <formula>0.04</formula>
    </cfRule>
  </conditionalFormatting>
  <conditionalFormatting sqref="L7">
    <cfRule type="expression" dxfId="218" priority="39">
      <formula>$C$16="à choisir"</formula>
    </cfRule>
  </conditionalFormatting>
  <conditionalFormatting sqref="L12">
    <cfRule type="expression" dxfId="217" priority="42">
      <formula>$G$10="oui"</formula>
    </cfRule>
  </conditionalFormatting>
  <conditionalFormatting sqref="M8">
    <cfRule type="expression" dxfId="216" priority="38">
      <formula>$C$16="Salaire horaire"</formula>
    </cfRule>
    <cfRule type="expression" dxfId="215" priority="37">
      <formula>$C$16="salaire mensuel"</formula>
    </cfRule>
  </conditionalFormatting>
  <conditionalFormatting sqref="M13">
    <cfRule type="expression" dxfId="214" priority="40">
      <formula>$G$10="oui"</formula>
    </cfRule>
  </conditionalFormatting>
  <conditionalFormatting sqref="P1">
    <cfRule type="containsText" dxfId="213" priority="116" operator="containsText" text="Achtung Fehler">
      <formula>NOT(ISERROR(SEARCH("Achtung Fehler",P1)))</formula>
    </cfRule>
  </conditionalFormatting>
  <conditionalFormatting sqref="P7">
    <cfRule type="expression" dxfId="212" priority="41">
      <formula>$Q$7="du Sal.horaire"</formula>
    </cfRule>
  </conditionalFormatting>
  <conditionalFormatting sqref="P10">
    <cfRule type="expression" dxfId="211" priority="43">
      <formula>$Q$10="heures"</formula>
    </cfRule>
  </conditionalFormatting>
  <conditionalFormatting sqref="Q64">
    <cfRule type="expression" dxfId="210" priority="26">
      <formula>$G$12="non"</formula>
    </cfRule>
  </conditionalFormatting>
  <conditionalFormatting sqref="S20">
    <cfRule type="beginsWith" dxfId="209" priority="5" operator="beginsWith" text="Vereinfachtes">
      <formula>LEFT(S20,LEN("Vereinfachtes"))="Vereinfachtes"</formula>
    </cfRule>
    <cfRule type="beginsWith" dxfId="208" priority="4" operator="beginsWith" text="Hinweis">
      <formula>LEFT(S20,LEN("Hinweis"))="Hinweis"</formula>
    </cfRule>
    <cfRule type="beginsWith" dxfId="207" priority="3" operator="beginsWith" text="ACHTUNG">
      <formula>LEFT(S20,LEN("ACHTUNG"))="ACHTUNG"</formula>
    </cfRule>
  </conditionalFormatting>
  <conditionalFormatting sqref="S24">
    <cfRule type="beginsWith" dxfId="206" priority="2" operator="beginsWith" text="ACHTUNG">
      <formula>LEFT(S24,LEN("ACHTUNG"))="ACHTUNG"</formula>
    </cfRule>
  </conditionalFormatting>
  <conditionalFormatting sqref="S28">
    <cfRule type="beginsWith" dxfId="205" priority="1" operator="beginsWith" text="ACHTUNG">
      <formula>LEFT(S28,LEN("ACHTUNG"))="ACHTUNG"</formula>
    </cfRule>
  </conditionalFormatting>
  <conditionalFormatting sqref="S36:S37">
    <cfRule type="beginsWith" dxfId="204" priority="6" operator="beginsWith" text="ACHTUNG">
      <formula>LEFT(S36,LEN("ACHTUNG"))="ACHTUNG"</formula>
    </cfRule>
  </conditionalFormatting>
  <conditionalFormatting sqref="W1:AJ10 W11:X12 Z11:AJ12">
    <cfRule type="expression" dxfId="203" priority="45">
      <formula>W1&lt;&gt;""</formula>
    </cfRule>
  </conditionalFormatting>
  <conditionalFormatting sqref="W13:AJ1048576">
    <cfRule type="expression" dxfId="202" priority="9">
      <formula>W13&lt;&gt;""</formula>
    </cfRule>
  </conditionalFormatting>
  <dataValidations count="7">
    <dataValidation type="list" allowBlank="1" showInputMessage="1" showErrorMessage="1" sqref="F9:G9" xr:uid="{EAB9A1E8-EF7B-44D0-9A32-F54B28DB0DFF}">
      <formula1>$AB$6:$AB$19</formula1>
    </dataValidation>
    <dataValidation type="list" allowBlank="1" showInputMessage="1" showErrorMessage="1" sqref="G10" xr:uid="{44B6702F-50C0-4D52-BE87-123DBD18BDBA}">
      <formula1>$AC$13:$AC$14</formula1>
    </dataValidation>
    <dataValidation type="list" allowBlank="1" showInputMessage="1" showErrorMessage="1" sqref="C17" xr:uid="{8C56C792-FB1B-42D2-8838-35421D412A78}">
      <formula1>$Y$11:$Y$12</formula1>
    </dataValidation>
    <dataValidation type="list" allowBlank="1" showInputMessage="1" showErrorMessage="1" sqref="C10" xr:uid="{9EDAF114-937B-44CF-9C87-F48A658619BC}">
      <formula1>$X$6:$X$8</formula1>
    </dataValidation>
    <dataValidation type="list" allowBlank="1" showInputMessage="1" showErrorMessage="1" sqref="C16" xr:uid="{276A546E-29BE-479E-9B3E-E7E341A536BF}">
      <formula1>$X$11:$X$13</formula1>
    </dataValidation>
    <dataValidation type="list" allowBlank="1" showInputMessage="1" showErrorMessage="1" sqref="G11:G12" xr:uid="{759A1781-0496-4202-A5C4-877FBAA88D9D}">
      <formula1>$AH$6:$AH$8</formula1>
    </dataValidation>
    <dataValidation type="list" allowBlank="1" showInputMessage="1" showErrorMessage="1" sqref="G13" xr:uid="{2E8AF4D0-DF65-4750-9E03-490972578681}">
      <formula1>$Y$6:$Y$8</formula1>
    </dataValidation>
  </dataValidations>
  <hyperlinks>
    <hyperlink ref="P1:Q3" location="Fehler1" display="Fehler1" xr:uid="{473898BA-ACC8-43E4-8303-E12F3066A261}"/>
    <hyperlink ref="G1:H3" location="Fehler1" display="Fehler1" xr:uid="{A4EFDD6C-DDBA-49DB-AA1B-7050C30FDE35}"/>
  </hyperlinks>
  <pageMargins left="0.23622047244094491" right="0.23622047244094491" top="0.74803149606299213" bottom="0.74803149606299213" header="0.31496062992125984" footer="0.31496062992125984"/>
  <pageSetup paperSize="9" scale="81" fitToWidth="2" pageOrder="overThenDown" orientation="portrait" r:id="rId1"/>
  <headerFooter>
    <oddHeader>&amp;R&amp;"Arial,Standard"&amp;9Koordinationsstelle &amp;"MS Sans Serif,Standard"&amp;10
&amp;"Arial,Fett"&amp;9Berner Modell&amp;"Arial,Standard" - freie Lebensgestaltung von Menschen mit Behinderungen
HelpLine 031 300 33 70 / info@bernermodell.ch</oddHeader>
    <oddFooter>&amp;L&amp;"Arial,Standard"&amp;9Seite &amp;P von &amp;N&amp;R&amp;"Arial,Standard"&amp;9Lohnprogramm V10.0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BD"/>
    <pageSetUpPr fitToPage="1"/>
  </sheetPr>
  <dimension ref="A1:AK83"/>
  <sheetViews>
    <sheetView showGridLines="0" showZeros="0" zoomScaleNormal="100" workbookViewId="0">
      <selection activeCell="C6" sqref="C6:D6"/>
    </sheetView>
  </sheetViews>
  <sheetFormatPr baseColWidth="10" defaultColWidth="11.453125" defaultRowHeight="12.5" x14ac:dyDescent="0.25"/>
  <cols>
    <col min="1" max="1" width="20.81640625" style="1" customWidth="1"/>
    <col min="2" max="2" width="4.54296875" style="1" bestFit="1" customWidth="1"/>
    <col min="3" max="4" width="13.7265625" style="1" customWidth="1"/>
    <col min="5" max="5" width="14.54296875" style="1" customWidth="1"/>
    <col min="6" max="8" width="13.7265625" style="1" customWidth="1"/>
    <col min="9" max="9" width="21.1796875" style="1" customWidth="1"/>
    <col min="10" max="10" width="4.54296875" style="1" bestFit="1" customWidth="1"/>
    <col min="11" max="16" width="12.26953125" style="1" customWidth="1"/>
    <col min="17" max="17" width="14.26953125" style="1" bestFit="1" customWidth="1"/>
    <col min="18" max="18" width="5" style="1" customWidth="1"/>
    <col min="19" max="19" width="29" style="1" customWidth="1"/>
    <col min="20" max="20" width="21" style="1" customWidth="1"/>
    <col min="21" max="21" width="15.7265625" style="1" customWidth="1"/>
    <col min="22" max="22" width="8" style="1" customWidth="1"/>
    <col min="23" max="23" width="15.26953125" style="1" hidden="1" customWidth="1"/>
    <col min="24" max="31" width="15.26953125" style="68" hidden="1" customWidth="1"/>
    <col min="32" max="35" width="15.26953125" style="1" hidden="1" customWidth="1"/>
    <col min="36" max="37" width="15.26953125" style="1" customWidth="1"/>
    <col min="38" max="16384" width="11.453125" style="1"/>
  </cols>
  <sheetData>
    <row r="1" spans="1:35" ht="12.75" customHeight="1" x14ac:dyDescent="0.25">
      <c r="A1" s="474" t="str">
        <f>'PA 1'!A1:C1</f>
        <v>Nom/Prénom employeur</v>
      </c>
      <c r="B1" s="474"/>
      <c r="C1" s="474"/>
      <c r="D1" s="473" t="str">
        <f>"Programme de salaire "&amp;Grundlagen!$D$1</f>
        <v>Programme de salaire 2026</v>
      </c>
      <c r="E1" s="473"/>
      <c r="F1" s="473"/>
      <c r="G1" s="460" t="str">
        <f>IF($W45&gt;4,"Attention erreur!",IF($W$45&gt;0,"Attention remarque!",""))</f>
        <v/>
      </c>
      <c r="H1" s="460"/>
      <c r="I1" s="475" t="str">
        <f>A1</f>
        <v>Nom/Prénom employeur</v>
      </c>
      <c r="J1" s="475"/>
      <c r="K1" s="475"/>
      <c r="L1" s="473" t="str">
        <f>D1</f>
        <v>Programme de salaire 2026</v>
      </c>
      <c r="M1" s="473"/>
      <c r="N1" s="473"/>
      <c r="P1" s="460" t="str">
        <f>IF($W45&gt;4,"Attention erreur!",IF($W$45&gt;0,"Attention remarque!",""))</f>
        <v/>
      </c>
      <c r="Q1" s="460"/>
      <c r="S1" s="250" t="s">
        <v>55</v>
      </c>
      <c r="T1" s="264"/>
      <c r="U1" s="441" t="s">
        <v>56</v>
      </c>
      <c r="V1" s="442" t="s">
        <v>57</v>
      </c>
      <c r="W1" s="425"/>
      <c r="AE1" s="1"/>
    </row>
    <row r="2" spans="1:35" ht="12.75" customHeight="1" x14ac:dyDescent="0.25">
      <c r="A2" s="474" t="str">
        <f>'PA 1'!A2:C2</f>
        <v>Lieu employeur</v>
      </c>
      <c r="B2" s="474"/>
      <c r="C2" s="474"/>
      <c r="D2" s="473"/>
      <c r="E2" s="473"/>
      <c r="F2" s="473"/>
      <c r="G2" s="460"/>
      <c r="H2" s="460"/>
      <c r="I2" s="475" t="str">
        <f>A2</f>
        <v>Lieu employeur</v>
      </c>
      <c r="J2" s="475"/>
      <c r="K2" s="475"/>
      <c r="L2" s="473"/>
      <c r="M2" s="473"/>
      <c r="N2" s="473"/>
      <c r="P2" s="460"/>
      <c r="Q2" s="460"/>
      <c r="S2" s="253" t="s">
        <v>59</v>
      </c>
      <c r="T2" s="2"/>
      <c r="U2" s="225">
        <f>IF(C16="Salaire horaire",(M8*M7*52)+(M13*M12*52),(M8+Y13)*12)</f>
        <v>0</v>
      </c>
      <c r="V2" s="265"/>
      <c r="W2" s="425"/>
      <c r="Y2" s="478" t="s">
        <v>60</v>
      </c>
      <c r="AA2" s="478" t="str">
        <f>"Jahreslohn gesamt &gt; CHF "&amp;Grundlagen!$B$9</f>
        <v>Jahreslohn gesamt &gt; CHF 58800</v>
      </c>
      <c r="AE2" s="1"/>
    </row>
    <row r="3" spans="1:35" ht="5.15" customHeight="1" x14ac:dyDescent="0.25">
      <c r="G3" s="460"/>
      <c r="H3" s="460"/>
      <c r="P3" s="460"/>
      <c r="Q3" s="460"/>
      <c r="S3" s="258"/>
      <c r="V3" s="254"/>
      <c r="W3" s="425"/>
      <c r="Y3" s="478"/>
      <c r="AA3" s="478"/>
      <c r="AE3" s="1"/>
    </row>
    <row r="4" spans="1:35" ht="15" customHeight="1" thickBot="1" x14ac:dyDescent="0.35">
      <c r="A4" s="41" t="s">
        <v>61</v>
      </c>
      <c r="B4" s="41"/>
      <c r="C4" s="41"/>
      <c r="D4" s="41"/>
      <c r="E4" s="42"/>
      <c r="F4" s="42"/>
      <c r="G4" s="42"/>
      <c r="H4" s="51" t="str">
        <f>CONCATENATE($C$6," ",$C$7)</f>
        <v xml:space="preserve"> </v>
      </c>
      <c r="I4" s="440" t="s">
        <v>62</v>
      </c>
      <c r="J4" s="440"/>
      <c r="K4" s="440"/>
      <c r="L4" s="440"/>
      <c r="M4" s="42"/>
      <c r="N4" s="42"/>
      <c r="O4" s="42"/>
      <c r="P4" s="42"/>
      <c r="Q4" s="51" t="str">
        <f>CONCATENATE($C$6," ",$C$7)</f>
        <v xml:space="preserve"> </v>
      </c>
      <c r="S4" s="467" t="s">
        <v>63</v>
      </c>
      <c r="T4" s="468"/>
      <c r="U4" s="266">
        <f>((U2-(U2*SUM(T8:T14,T16,Y9)+(12*T15)))*Z14)</f>
        <v>0</v>
      </c>
      <c r="V4" s="267">
        <f>U4/365</f>
        <v>0</v>
      </c>
      <c r="W4" s="425"/>
      <c r="X4" s="476" t="s">
        <v>64</v>
      </c>
      <c r="Y4" s="478"/>
      <c r="Z4" s="476" t="s">
        <v>65</v>
      </c>
      <c r="AA4" s="478"/>
      <c r="AB4" s="479" t="s">
        <v>66</v>
      </c>
      <c r="AC4" s="480" t="s">
        <v>67</v>
      </c>
      <c r="AD4" s="477" t="s">
        <v>68</v>
      </c>
      <c r="AE4" s="1"/>
      <c r="AH4" s="476" t="s">
        <v>69</v>
      </c>
      <c r="AI4" s="476"/>
    </row>
    <row r="5" spans="1:35" ht="5.15" customHeight="1" x14ac:dyDescent="0.25">
      <c r="X5" s="476"/>
      <c r="Y5" s="478"/>
      <c r="Z5" s="476"/>
      <c r="AA5" s="478"/>
      <c r="AB5" s="479"/>
      <c r="AC5" s="480"/>
      <c r="AD5" s="477"/>
      <c r="AE5" s="2"/>
      <c r="AF5" s="4"/>
      <c r="AG5" s="48"/>
      <c r="AH5" s="476"/>
      <c r="AI5" s="476"/>
    </row>
    <row r="6" spans="1:35" s="2" customFormat="1" ht="13.5" thickBot="1" x14ac:dyDescent="0.35">
      <c r="A6" s="2" t="s">
        <v>70</v>
      </c>
      <c r="C6" s="466"/>
      <c r="D6" s="466"/>
      <c r="E6" s="2" t="s">
        <v>71</v>
      </c>
      <c r="F6" s="461"/>
      <c r="G6" s="466"/>
      <c r="I6" s="6" t="s">
        <v>72</v>
      </c>
      <c r="N6" s="6" t="str">
        <f>IF(AND(C16="Salaire horaire",G11="oui"),"Calcul de l'indemnité les heures de garde","")</f>
        <v/>
      </c>
      <c r="W6" s="426"/>
      <c r="X6" s="2" t="s">
        <v>73</v>
      </c>
      <c r="Y6" s="2" t="s">
        <v>73</v>
      </c>
      <c r="Z6" s="2" t="str">
        <f>IF(OR(G13="simplifiée",G13="à choisir"),"simplifiée","")</f>
        <v>simplifiée</v>
      </c>
      <c r="AA6" s="59" t="str">
        <f>IF('Attestation du salaire (simpl.)'!H43&lt;Grundlagen!$B$9,"non","oui")</f>
        <v>non</v>
      </c>
      <c r="AB6" s="232" t="s">
        <v>73</v>
      </c>
      <c r="AC6" s="59" t="str">
        <f>IF(OR(F9="Parents",F9="Enfant", F9="Grands-parents", F9="Petit-fils/fille", F9="Conjoint-e", F9="Partenariat enrégistré", F9="Concubin-e"),"oui","non")</f>
        <v>non</v>
      </c>
      <c r="AD6" s="59" t="e">
        <f>IF(C16="Salaire horaire",IF(OR(M8&lt;21.6,M8&gt;21.6),"non",IF(M13="","oui",IF(OR(M13&lt;21.6,M13&gt;21.6),"non","oui"))),IF(C17="non",IF(AD9=3930,"oui","non"),IF(AD10=3630,"oui","non")))</f>
        <v>#DIV/0!</v>
      </c>
      <c r="AF6" s="5" t="s">
        <v>74</v>
      </c>
      <c r="AG6" s="49"/>
      <c r="AH6" s="2" t="s">
        <v>73</v>
      </c>
    </row>
    <row r="7" spans="1:35" s="2" customFormat="1" ht="13" x14ac:dyDescent="0.3">
      <c r="A7" s="2" t="s">
        <v>75</v>
      </c>
      <c r="C7" s="466"/>
      <c r="D7" s="466"/>
      <c r="E7" s="2" t="s">
        <v>76</v>
      </c>
      <c r="F7" s="461"/>
      <c r="G7" s="461"/>
      <c r="I7" s="2" t="str">
        <f>IF(C16="Salaire horaire",IF(G10="oui","Taux d'occupation I","Taux d'occupation"),IF(C16="Salaire mensuel","Taux d'occupation",""))</f>
        <v/>
      </c>
      <c r="L7" s="380"/>
      <c r="M7" s="443">
        <f>42*L7</f>
        <v>0</v>
      </c>
      <c r="N7" s="2" t="str">
        <f>IF(AND(C16="Salaire horaire",G11="oui"),"1 heure de garde =","")</f>
        <v/>
      </c>
      <c r="P7" s="308"/>
      <c r="Q7" s="2" t="str">
        <f>IF(AND(C16="Salaire horaire",G11="oui"),"du Sal.horaire","")</f>
        <v/>
      </c>
      <c r="S7" s="250" t="s">
        <v>77</v>
      </c>
      <c r="T7" s="251" t="s">
        <v>78</v>
      </c>
      <c r="U7" s="252"/>
      <c r="W7" s="1"/>
      <c r="X7" s="2" t="s">
        <v>79</v>
      </c>
      <c r="Y7" s="2" t="s">
        <v>80</v>
      </c>
      <c r="Z7" s="59" t="str">
        <f>IF(OR(G13="ordinaire",G13="à choisir"),"ordinaire","")</f>
        <v>ordinaire</v>
      </c>
      <c r="AA7" s="59"/>
      <c r="AB7" s="59" t="s">
        <v>81</v>
      </c>
      <c r="AD7" s="59" t="e">
        <f>IF(C16="Salaire horaire",IF(OR(M8&lt;21.6,M8&gt;56.5),"non",IF(M13="","oui",IF(OR(M13&lt;21.6,M13&gt;56.5),"non","oui"))),IF(C17="non",IF(AD9&lt;3930,"non","oui"),IF(AD10&lt;3630,"non","oui")))</f>
        <v>#DIV/0!</v>
      </c>
      <c r="AF7" s="5" t="s">
        <v>82</v>
      </c>
      <c r="AG7" s="49">
        <v>0</v>
      </c>
      <c r="AH7" s="2" t="s">
        <v>83</v>
      </c>
    </row>
    <row r="8" spans="1:35" s="2" customFormat="1" ht="12" customHeight="1" x14ac:dyDescent="0.3">
      <c r="A8" s="2" t="s">
        <v>84</v>
      </c>
      <c r="C8" s="466"/>
      <c r="D8" s="466"/>
      <c r="E8" s="2" t="s">
        <v>85</v>
      </c>
      <c r="F8" s="466"/>
      <c r="G8" s="466"/>
      <c r="I8" s="5" t="str">
        <f>IF(AND($C$16="Salaire horaire",OR(H10="à choisir",G10="non")),"Salaire horaire (avec suppl. vacances)",IF(AND($C$16="Salaire horaire",$G$10="oui"),"Salaire horaire I (avec suppl. vacances)",IF(C16="Salaire mensuel","Salaire mensuel","")))</f>
        <v/>
      </c>
      <c r="L8" s="4">
        <v>0</v>
      </c>
      <c r="M8" s="249"/>
      <c r="S8" s="253" t="s">
        <v>86</v>
      </c>
      <c r="T8" s="255">
        <f>IF(F7="",0,IF(DATEDIF($F$7,$A$21,"Y")&lt;18,0,Grundlagen!$B$5))</f>
        <v>0</v>
      </c>
      <c r="U8" s="254"/>
      <c r="W8" s="427"/>
      <c r="X8" s="2" t="s">
        <v>87</v>
      </c>
      <c r="Y8" s="59" t="s">
        <v>88</v>
      </c>
      <c r="Z8" s="59"/>
      <c r="AB8" s="59" t="s">
        <v>89</v>
      </c>
      <c r="AD8" s="2" t="e">
        <f>IF(C16="Salaire horaire",IF(OR(M8&lt;21.6,M8&gt;56.5,M13&lt;21.6,M13&gt;56.5),"non","oui"),IF(C17="non",IF(AD9&lt;10290.1,"non","oui"),IF(AD10&lt;9500.1,"non","oui")))</f>
        <v>#DIV/0!</v>
      </c>
      <c r="AF8" s="5"/>
      <c r="AG8" s="49"/>
      <c r="AH8" s="2" t="s">
        <v>90</v>
      </c>
    </row>
    <row r="9" spans="1:35" s="2" customFormat="1" ht="13" x14ac:dyDescent="0.3">
      <c r="A9" s="2" t="s">
        <v>91</v>
      </c>
      <c r="C9" s="466"/>
      <c r="D9" s="466"/>
      <c r="E9" s="2" t="s">
        <v>92</v>
      </c>
      <c r="F9" s="469" t="s">
        <v>73</v>
      </c>
      <c r="G9" s="469"/>
      <c r="I9" s="4" t="str">
        <f>IF($C$16="Salaire horaire","Suppl. vacances","")</f>
        <v/>
      </c>
      <c r="K9" s="4" t="str">
        <f>IF($C$16="Salaire horaire",(IF(L9=8.33%,"4 semaines","5 semaines")),"")</f>
        <v/>
      </c>
      <c r="L9" s="48" t="str">
        <f>IF($C$16="Salaire horaire",(IF(OR((DATEDIF($F$7,$C$21,"Y")&lt;20),(DATEDIF($F$7,$C$21,"Y")&gt;49)),10.64%,8.33%)),"")</f>
        <v/>
      </c>
      <c r="M9" s="247" t="str">
        <f>IF($C$16="Salaire horaire",M8/(1+L9)*L9,"")</f>
        <v/>
      </c>
      <c r="N9" s="6" t="str">
        <f>IF(C16="Salaire horaire","Conversion des engagements de nuit en heures","")</f>
        <v/>
      </c>
      <c r="S9" s="253" t="s">
        <v>93</v>
      </c>
      <c r="T9" s="255">
        <f>IF(F7="",0,IF(DATEDIF($F$7,$A$21,"Y")&lt;18,0,IF($C$67="oui",0,Grundlagen!$B$6)))</f>
        <v>0</v>
      </c>
      <c r="U9" s="256"/>
      <c r="W9" s="428"/>
      <c r="Y9" s="75">
        <f>IF(G13="à choisir",0,IF(AND(Z6="simplifiée",'PA 2'!Z6="simplifiée",'PA 3'!Z6="simplifiée",'PA 4'!Z6="simplifiée",'PA 5'!Z6="simplifiée",'PA 6'!Z6="simplifiée",'PA 7'!Z6="simplifiée",'PA 8'!Z6="simplifiée",'PA 9'!Z6="simplifiée"),IF(DATEDIF($F$7,D21,"Y")&lt;17,0%,5%),0%))</f>
        <v>0</v>
      </c>
      <c r="Z9" s="59"/>
      <c r="AB9" s="59" t="s">
        <v>94</v>
      </c>
      <c r="AD9" s="59" t="e">
        <f>ROUND(M8/L7,0)</f>
        <v>#DIV/0!</v>
      </c>
      <c r="AF9" s="5"/>
      <c r="AG9" s="49"/>
    </row>
    <row r="10" spans="1:35" s="2" customFormat="1" ht="13" x14ac:dyDescent="0.3">
      <c r="A10" s="2" t="s">
        <v>95</v>
      </c>
      <c r="C10" s="378" t="s">
        <v>73</v>
      </c>
      <c r="E10" s="2" t="str">
        <f>IF(C16="Salaire horaire","Avez-vous 2 différents sal. horaire?","")</f>
        <v/>
      </c>
      <c r="G10" s="391"/>
      <c r="H10" s="176" t="str">
        <f>IF(G10&gt;1,"",IF(C16="Salaire horaire","à choisir",""))</f>
        <v/>
      </c>
      <c r="I10" s="5" t="str">
        <f>IF(AND($C$16="Salaire horaire",OR(H10="à choisir",G10="non")),"Salaire horaire (sans Suppl. vacances)",IF(AND($C$16="Salaire horaire",$G$10="oui"),"Salaire horaire I (sans Suppl. vacances)",""))</f>
        <v/>
      </c>
      <c r="M10" s="248" t="str">
        <f>IF($C$16="Salaire horaire",M8-M9,"")</f>
        <v/>
      </c>
      <c r="N10" s="2" t="str">
        <f>IF(C16="Salaire horaire","1 nuit correspond à","")</f>
        <v/>
      </c>
      <c r="P10" s="268"/>
      <c r="Q10" s="2" t="str">
        <f>IF(C16="Salaire horaire","heures","")</f>
        <v/>
      </c>
      <c r="S10" s="253"/>
      <c r="T10" s="255"/>
      <c r="U10" s="256"/>
      <c r="W10" s="1"/>
      <c r="X10" s="6" t="s">
        <v>96</v>
      </c>
      <c r="Y10" s="6" t="s">
        <v>97</v>
      </c>
      <c r="Z10" s="64" t="s">
        <v>98</v>
      </c>
      <c r="AB10" s="59" t="s">
        <v>99</v>
      </c>
      <c r="AD10" s="59" t="e">
        <f>ROUND(M8/L7,0)</f>
        <v>#DIV/0!</v>
      </c>
    </row>
    <row r="11" spans="1:35" s="2" customFormat="1" ht="13.5" customHeight="1" x14ac:dyDescent="0.3">
      <c r="A11" s="2" t="s">
        <v>100</v>
      </c>
      <c r="C11" s="378"/>
      <c r="E11" s="2" t="s">
        <v>101</v>
      </c>
      <c r="G11" s="381" t="s">
        <v>73</v>
      </c>
      <c r="S11" s="253" t="s">
        <v>102</v>
      </c>
      <c r="T11" s="387"/>
      <c r="U11" s="257" t="s">
        <v>103</v>
      </c>
      <c r="W11" s="1"/>
      <c r="X11" s="2" t="s">
        <v>73</v>
      </c>
      <c r="Y11" s="2" t="str">
        <f>IF(C16="Salaire mensuel","oui","")</f>
        <v/>
      </c>
      <c r="Z11" s="188">
        <f>IF(G13="simplifiée",126.8%,0)</f>
        <v>0</v>
      </c>
      <c r="AB11" s="59" t="s">
        <v>104</v>
      </c>
      <c r="AD11" s="59"/>
    </row>
    <row r="12" spans="1:35" s="2" customFormat="1" ht="13.5" customHeight="1" x14ac:dyDescent="0.3">
      <c r="A12" s="2" t="s">
        <v>105</v>
      </c>
      <c r="C12" s="378"/>
      <c r="E12" s="2" t="s">
        <v>106</v>
      </c>
      <c r="G12" s="381" t="s">
        <v>73</v>
      </c>
      <c r="I12" s="2" t="str">
        <f>IF(G10="oui","Taux d'occupation II","")</f>
        <v/>
      </c>
      <c r="L12" s="224"/>
      <c r="M12" s="246">
        <f>42*L12</f>
        <v>0</v>
      </c>
      <c r="S12" s="253"/>
      <c r="T12" s="1"/>
      <c r="U12" s="254"/>
      <c r="W12" s="1"/>
      <c r="X12" s="2" t="s">
        <v>107</v>
      </c>
      <c r="Y12" s="2" t="str">
        <f>IF(C16="Salaire mensuel","non","")</f>
        <v/>
      </c>
      <c r="Z12" s="188">
        <f>IF(AND(G13="ordinaire",T15=0,T16=0),119.9%,0)</f>
        <v>0</v>
      </c>
      <c r="AA12" s="59"/>
      <c r="AB12" s="59" t="s">
        <v>108</v>
      </c>
      <c r="AC12" s="64" t="s">
        <v>109</v>
      </c>
      <c r="AD12" s="59"/>
    </row>
    <row r="13" spans="1:35" s="2" customFormat="1" ht="12.75" customHeight="1" x14ac:dyDescent="0.3">
      <c r="A13" s="2" t="s">
        <v>110</v>
      </c>
      <c r="C13" s="378"/>
      <c r="E13" s="2" t="s">
        <v>111</v>
      </c>
      <c r="G13" s="381" t="s">
        <v>73</v>
      </c>
      <c r="I13" s="5" t="str">
        <f>IF(G10="oui","Salaire horaire II (avec Suppl. vacances)","")</f>
        <v/>
      </c>
      <c r="L13" s="4"/>
      <c r="M13" s="249"/>
      <c r="S13" s="253" t="s">
        <v>112</v>
      </c>
      <c r="T13" s="388"/>
      <c r="U13" s="257" t="s">
        <v>103</v>
      </c>
      <c r="W13" s="425"/>
      <c r="X13" s="2" t="s">
        <v>113</v>
      </c>
      <c r="Y13" s="2">
        <f>IF(C17="oui",M8/12,0)</f>
        <v>0</v>
      </c>
      <c r="Z13" s="188">
        <f>IF(OR(T15&gt;0,T16&gt;0),129.2%,0)</f>
        <v>0</v>
      </c>
      <c r="AA13" s="59"/>
      <c r="AB13" s="59" t="s">
        <v>114</v>
      </c>
      <c r="AC13" s="59" t="s">
        <v>83</v>
      </c>
      <c r="AD13" s="59"/>
    </row>
    <row r="14" spans="1:35" s="2" customFormat="1" ht="12.75" customHeight="1" x14ac:dyDescent="0.3">
      <c r="A14" s="2" t="s">
        <v>115</v>
      </c>
      <c r="C14" s="379"/>
      <c r="E14" s="2" t="s">
        <v>116</v>
      </c>
      <c r="F14" s="466"/>
      <c r="G14" s="466"/>
      <c r="I14" s="4" t="str">
        <f>IF(G10="oui","Suppl. vacances","")</f>
        <v/>
      </c>
      <c r="K14" s="4" t="str">
        <f>IF($G$10="oui",(IF(L14=8.33%,"4 semaines","5 semaines")),"")</f>
        <v/>
      </c>
      <c r="L14" s="48" t="str">
        <f>IF(G10="oui",(IF(OR((DATEDIF($F$7,$C$21,"Y")&lt;20),(DATEDIF($F$7,$C$21,"Y")&gt;49)),10.64%,8.33%)),"")</f>
        <v/>
      </c>
      <c r="M14" s="247" t="str">
        <f>IF(G10="oui",M13/(1+L14)*L14,"")</f>
        <v/>
      </c>
      <c r="S14" s="258"/>
      <c r="T14" s="1"/>
      <c r="U14" s="254"/>
      <c r="W14" s="425"/>
      <c r="Y14" s="157">
        <f>M8</f>
        <v>0</v>
      </c>
      <c r="Z14" s="188">
        <f>SUM(Z11:Z13)</f>
        <v>0</v>
      </c>
      <c r="AA14" s="59"/>
      <c r="AB14" s="58" t="s">
        <v>117</v>
      </c>
      <c r="AC14" s="59" t="s">
        <v>90</v>
      </c>
      <c r="AD14" s="59"/>
    </row>
    <row r="15" spans="1:35" s="2" customFormat="1" ht="12.75" customHeight="1" x14ac:dyDescent="0.3">
      <c r="A15" s="2" t="s">
        <v>118</v>
      </c>
      <c r="C15" s="379"/>
      <c r="E15" s="2" t="s">
        <v>119</v>
      </c>
      <c r="F15" s="466"/>
      <c r="G15" s="466"/>
      <c r="I15" s="5" t="str">
        <f>IF(G10="oui","Salaire horaire II (sans Suppl. vacances)","")</f>
        <v/>
      </c>
      <c r="M15" s="248" t="str">
        <f>IF(G10="oui",M13-M14,"")</f>
        <v/>
      </c>
      <c r="S15" s="253" t="s">
        <v>120</v>
      </c>
      <c r="T15" s="389"/>
      <c r="U15" s="259" t="s">
        <v>121</v>
      </c>
      <c r="W15" s="1"/>
      <c r="Y15" s="2">
        <f>SUM(Y13:Y14)</f>
        <v>0</v>
      </c>
      <c r="Z15" s="59"/>
      <c r="AA15" s="59"/>
      <c r="AB15" s="59" t="s">
        <v>122</v>
      </c>
      <c r="AD15" s="59"/>
    </row>
    <row r="16" spans="1:35" s="2" customFormat="1" ht="12.75" customHeight="1" thickBot="1" x14ac:dyDescent="0.35">
      <c r="A16" s="2" t="s">
        <v>123</v>
      </c>
      <c r="C16" s="378" t="s">
        <v>73</v>
      </c>
      <c r="E16" s="2" t="s">
        <v>124</v>
      </c>
      <c r="F16" s="466"/>
      <c r="G16" s="466"/>
      <c r="S16" s="260" t="s">
        <v>125</v>
      </c>
      <c r="T16" s="390"/>
      <c r="U16" s="261" t="s">
        <v>126</v>
      </c>
      <c r="W16" s="1"/>
      <c r="Z16" s="59"/>
      <c r="AA16" s="59"/>
      <c r="AB16" s="58" t="s">
        <v>127</v>
      </c>
      <c r="AC16" s="59"/>
      <c r="AD16" s="59"/>
    </row>
    <row r="17" spans="1:37" s="2" customFormat="1" ht="12.75" customHeight="1" thickBot="1" x14ac:dyDescent="0.35">
      <c r="A17" s="2" t="str">
        <f>IF(C16="Salaire mensuel","13ème salaire","")</f>
        <v/>
      </c>
      <c r="C17" s="329"/>
      <c r="D17" s="176" t="str">
        <f>IF(C17&gt;1,"",IF(A17="13ème salaire","à choisir",""))</f>
        <v/>
      </c>
      <c r="E17" s="422" t="s">
        <v>128</v>
      </c>
      <c r="F17" s="423" t="str">
        <f>IF($F$7="","",IF($C$10="masculin",DATE(YEAR($F$7)+65,MONTH($F$7)+1,1),IF($C$10="féminin",DATE(YEAR($F$7)+64,MONTH($F$7)+1+VLOOKUP(YEAR($F$7),Grundlagen!$F$1:$G$26,2,TRUE),1),"")))</f>
        <v/>
      </c>
      <c r="H17" s="175"/>
      <c r="W17" s="1"/>
      <c r="X17" s="59"/>
      <c r="Y17" s="59"/>
      <c r="Z17" s="59"/>
      <c r="AA17" s="59"/>
      <c r="AB17" s="59" t="s">
        <v>129</v>
      </c>
      <c r="AC17" s="59"/>
      <c r="AD17" s="59"/>
    </row>
    <row r="18" spans="1:37" s="2" customFormat="1" ht="12" customHeight="1" x14ac:dyDescent="0.3">
      <c r="H18" s="175"/>
      <c r="M18" s="175"/>
      <c r="S18" s="484" t="s">
        <v>130</v>
      </c>
      <c r="T18" s="485"/>
      <c r="U18" s="486"/>
      <c r="V18" s="340"/>
      <c r="X18" s="158"/>
      <c r="Y18" s="159"/>
      <c r="Z18" s="59"/>
      <c r="AA18" s="59"/>
      <c r="AB18" s="59" t="s">
        <v>131</v>
      </c>
      <c r="AC18" s="59"/>
      <c r="AD18" s="59"/>
      <c r="AE18" s="59"/>
    </row>
    <row r="19" spans="1:37" s="2" customFormat="1" ht="14" x14ac:dyDescent="0.3">
      <c r="A19" s="41" t="s">
        <v>132</v>
      </c>
      <c r="B19" s="41"/>
      <c r="C19" s="52"/>
      <c r="D19" s="52"/>
      <c r="E19" s="52"/>
      <c r="F19" s="52"/>
      <c r="G19" s="52"/>
      <c r="H19" s="52"/>
      <c r="I19" s="41" t="str">
        <f>$A$19</f>
        <v>Décompte de salaire</v>
      </c>
      <c r="J19" s="41"/>
      <c r="K19" s="52"/>
      <c r="L19" s="52"/>
      <c r="M19" s="52"/>
      <c r="N19" s="52"/>
      <c r="O19" s="52"/>
      <c r="P19" s="52"/>
      <c r="Q19" s="52"/>
      <c r="S19" s="262"/>
      <c r="U19" s="263"/>
      <c r="X19" s="158"/>
      <c r="Y19" s="159"/>
      <c r="Z19" s="59"/>
      <c r="AA19" s="59"/>
      <c r="AB19" s="59" t="s">
        <v>133</v>
      </c>
      <c r="AC19" s="59"/>
      <c r="AD19" s="59"/>
      <c r="AE19" s="59"/>
    </row>
    <row r="20" spans="1:37" s="2" customFormat="1" ht="5.15" customHeight="1" thickBot="1" x14ac:dyDescent="0.3">
      <c r="C20" s="80"/>
      <c r="D20" s="81"/>
      <c r="E20" s="5"/>
      <c r="F20" s="5"/>
      <c r="G20" s="5"/>
      <c r="H20" s="49"/>
      <c r="I20" s="49"/>
      <c r="K20" s="49"/>
      <c r="S20" s="481">
        <f>IF(F7="",0,IF(OR(G13="ordinaire",G13="à choisir"),0,(IF(G13="simplifiée",IF(OR($F$9="Conjoint-e",$F$9="Enfant",$F$9="Partenariat enrégistré"),"Ni la conjointe ou le conjoint de l’employeur ni ses enfants ne peuvent utiliser la procédure de décompte AVS simplifiée.",IF(OR(Q38+Q39&gt;Grundlagen!$B$8-0.01,U2&gt;Grundlagen!$B$8-0.01),"La procédure de décompte simplifiée ne peut pas être appliquée si le salaire annuel est supérieur à CHF"&amp;Grundlagen!$B$8&amp;"!",IF(AA6="oui","La procédure de décompte simplifiée ne peut pas être appliquée si la masse salariale totale est supérieure à CHF "&amp;Grundlagen!$B$9&amp;"!",IF(DATEDIF($F$7,$A$21,"Y")&lt;19,0,IF(G13="ordinaire",0,0)))))))))</f>
        <v>0</v>
      </c>
      <c r="T20" s="482"/>
      <c r="U20" s="483"/>
      <c r="V20" s="370"/>
      <c r="X20" s="158"/>
      <c r="Y20" s="159"/>
      <c r="Z20" s="59"/>
      <c r="AA20" s="59"/>
      <c r="AB20" s="59"/>
      <c r="AD20" s="59"/>
      <c r="AE20" s="59"/>
    </row>
    <row r="21" spans="1:37" s="2" customFormat="1" ht="15" customHeight="1" x14ac:dyDescent="0.25">
      <c r="A21" s="310">
        <f>Grundlagen!$C$1</f>
        <v>46387</v>
      </c>
      <c r="B21" s="269"/>
      <c r="C21" s="82">
        <f>Grundlagen!$B$1</f>
        <v>46023</v>
      </c>
      <c r="D21" s="82">
        <f>DATE(YEAR(C21),MONTH(C21)+1,1)</f>
        <v>46054</v>
      </c>
      <c r="E21" s="82">
        <f t="shared" ref="E21:H21" si="0">DATE(YEAR(D21),MONTH(D21)+1,1)</f>
        <v>46082</v>
      </c>
      <c r="F21" s="82">
        <f t="shared" si="0"/>
        <v>46113</v>
      </c>
      <c r="G21" s="82">
        <f t="shared" si="0"/>
        <v>46143</v>
      </c>
      <c r="H21" s="69">
        <f t="shared" si="0"/>
        <v>46174</v>
      </c>
      <c r="I21" s="310">
        <f t="shared" ref="I21:I22" si="1">A21</f>
        <v>46387</v>
      </c>
      <c r="J21" s="269"/>
      <c r="K21" s="82">
        <f>DATE(YEAR(H21),MONTH(H21)+1,1)</f>
        <v>46204</v>
      </c>
      <c r="L21" s="82">
        <f>DATE(YEAR(K21),MONTH(K21)+1,1)</f>
        <v>46235</v>
      </c>
      <c r="M21" s="82">
        <f t="shared" ref="M21:P21" si="2">DATE(YEAR(L21),MONTH(L21)+1,1)</f>
        <v>46266</v>
      </c>
      <c r="N21" s="82">
        <f t="shared" si="2"/>
        <v>46296</v>
      </c>
      <c r="O21" s="82">
        <f t="shared" si="2"/>
        <v>46327</v>
      </c>
      <c r="P21" s="69">
        <f t="shared" si="2"/>
        <v>46357</v>
      </c>
      <c r="Q21" s="97" t="s">
        <v>134</v>
      </c>
      <c r="S21" s="481"/>
      <c r="T21" s="482"/>
      <c r="U21" s="483"/>
      <c r="V21" s="370"/>
      <c r="W21" s="2">
        <f>IF(S20=0,0,5)</f>
        <v>0</v>
      </c>
      <c r="X21" s="158"/>
      <c r="Y21" s="159"/>
      <c r="Z21" s="59"/>
      <c r="AA21" s="59"/>
      <c r="AB21" s="59"/>
      <c r="AC21" s="59"/>
      <c r="AD21" s="59"/>
      <c r="AE21" s="59"/>
    </row>
    <row r="22" spans="1:37" s="2" customFormat="1" ht="15" customHeight="1" x14ac:dyDescent="0.25">
      <c r="A22" s="311" t="str">
        <f>IF($C$16="Salaire horaire","",IF(C16="à choisir","","Salaire mensuel"))</f>
        <v/>
      </c>
      <c r="B22" s="270" t="str">
        <f>IF(A22="Salaire mensuel","CHF"," ")</f>
        <v xml:space="preserve"> </v>
      </c>
      <c r="C22" s="286">
        <f t="shared" ref="C22:H22" si="3">IF(OR($C$16="Salaire horaire",$C$16="à choisir"),0,IF($C$16="Salaire mensuel",(IF(OR(MONTH(IF($C$14&lt;$C$21,$C$21,$C$14))&gt;MONTH(C21),MONTH(IF($C$15="",$A$21,$C$15))&lt;MONTH(C21)),0,$M$8))))</f>
        <v>0</v>
      </c>
      <c r="D22" s="286">
        <f t="shared" si="3"/>
        <v>0</v>
      </c>
      <c r="E22" s="286">
        <f t="shared" si="3"/>
        <v>0</v>
      </c>
      <c r="F22" s="286">
        <f t="shared" si="3"/>
        <v>0</v>
      </c>
      <c r="G22" s="286">
        <f t="shared" si="3"/>
        <v>0</v>
      </c>
      <c r="H22" s="287">
        <f t="shared" si="3"/>
        <v>0</v>
      </c>
      <c r="I22" s="312" t="str">
        <f t="shared" si="1"/>
        <v/>
      </c>
      <c r="J22" s="270" t="str">
        <f>IF(I22="Salaire mensuel","CHF"," ")</f>
        <v xml:space="preserve"> </v>
      </c>
      <c r="K22" s="286">
        <f t="shared" ref="K22:P22" si="4">IF(OR($C$16="Salaire horaire",$C$16="à choisir"),0,IF($C$16="Salaire mensuel",(IF(OR(MONTH(IF($C$14&lt;$C$21,$C$21,$C$14))&gt;MONTH(K21),MONTH(IF($C$15="",$A$21,$C$15))&lt;MONTH(K21)),0,$M$8))))</f>
        <v>0</v>
      </c>
      <c r="L22" s="286">
        <f t="shared" si="4"/>
        <v>0</v>
      </c>
      <c r="M22" s="286">
        <f t="shared" si="4"/>
        <v>0</v>
      </c>
      <c r="N22" s="286">
        <f t="shared" si="4"/>
        <v>0</v>
      </c>
      <c r="O22" s="286">
        <f t="shared" si="4"/>
        <v>0</v>
      </c>
      <c r="P22" s="287">
        <f t="shared" si="4"/>
        <v>0</v>
      </c>
      <c r="Q22" s="302">
        <f t="shared" ref="Q22" si="5">ROUND((SUM(C22:H22)+SUM(K22:P22))*20,0)/20</f>
        <v>0</v>
      </c>
      <c r="S22" s="481"/>
      <c r="T22" s="482"/>
      <c r="U22" s="483"/>
      <c r="V22" s="370"/>
      <c r="X22" s="158"/>
      <c r="Y22" s="159"/>
      <c r="Z22" s="59"/>
      <c r="AA22" s="59"/>
      <c r="AB22" s="59"/>
      <c r="AC22" s="59"/>
      <c r="AD22" s="59"/>
      <c r="AE22" s="59"/>
    </row>
    <row r="23" spans="1:37" s="2" customFormat="1" ht="15" customHeight="1" x14ac:dyDescent="0.25">
      <c r="A23" s="311" t="str">
        <f>IF($C$16="Salaire horaire","",(IF($C$17="oui","13. Salaire mensuel","")))</f>
        <v/>
      </c>
      <c r="B23" s="270" t="str">
        <f>IF(A23="13. Salaire mensuel","CHF"," ")</f>
        <v xml:space="preserve"> </v>
      </c>
      <c r="C23" s="286">
        <f t="shared" ref="C23:H23" si="6">IF(OR($C$16="Salaire horaire",$C$16="à choisir"),0,(IF($C$17="oui",(C$22+C32+C33)/12,"")))</f>
        <v>0</v>
      </c>
      <c r="D23" s="288">
        <f t="shared" si="6"/>
        <v>0</v>
      </c>
      <c r="E23" s="288">
        <f t="shared" si="6"/>
        <v>0</v>
      </c>
      <c r="F23" s="288">
        <f t="shared" si="6"/>
        <v>0</v>
      </c>
      <c r="G23" s="288">
        <f t="shared" si="6"/>
        <v>0</v>
      </c>
      <c r="H23" s="287">
        <f t="shared" si="6"/>
        <v>0</v>
      </c>
      <c r="I23" s="312" t="str">
        <f t="shared" ref="I23:I52" si="7">A23</f>
        <v/>
      </c>
      <c r="J23" s="270" t="str">
        <f>IF(I23="13. Salaire mensuel","CHF"," ")</f>
        <v xml:space="preserve"> </v>
      </c>
      <c r="K23" s="288">
        <f t="shared" ref="K23:P23" si="8">IF(OR($C$16="Salaire horaire",$C$16="à choisir"),0,(IF($C$17="oui",(K$22+K32+K33)/12,"")))</f>
        <v>0</v>
      </c>
      <c r="L23" s="288">
        <f t="shared" si="8"/>
        <v>0</v>
      </c>
      <c r="M23" s="288">
        <f t="shared" si="8"/>
        <v>0</v>
      </c>
      <c r="N23" s="303">
        <f t="shared" si="8"/>
        <v>0</v>
      </c>
      <c r="O23" s="288">
        <f t="shared" si="8"/>
        <v>0</v>
      </c>
      <c r="P23" s="287">
        <f t="shared" si="8"/>
        <v>0</v>
      </c>
      <c r="Q23" s="240">
        <f t="shared" ref="Q23:Q37" si="9">ROUND((SUM(C23:H23)+SUM(K23:P23))*20,0)/20</f>
        <v>0</v>
      </c>
      <c r="S23" s="262"/>
      <c r="U23" s="263"/>
      <c r="Y23" s="58"/>
      <c r="Z23" s="58"/>
      <c r="AA23" s="58"/>
      <c r="AB23" s="58"/>
      <c r="AC23" s="58"/>
      <c r="AD23" s="58"/>
      <c r="AE23" s="58"/>
      <c r="AF23" s="58"/>
    </row>
    <row r="24" spans="1:37" s="2" customFormat="1" ht="15" customHeight="1" x14ac:dyDescent="0.25">
      <c r="A24" s="444" t="str">
        <f>IF(G11="oui","Nombre d'heures 
de garde","")</f>
        <v/>
      </c>
      <c r="B24" s="447" t="str">
        <f>IF(A24="Nombre d'heures 
de garde","h"," ")</f>
        <v xml:space="preserve"> </v>
      </c>
      <c r="C24" s="288"/>
      <c r="D24" s="288"/>
      <c r="E24" s="288"/>
      <c r="F24" s="288"/>
      <c r="G24" s="288"/>
      <c r="H24" s="287"/>
      <c r="I24" s="311" t="str">
        <f t="shared" si="7"/>
        <v/>
      </c>
      <c r="J24" s="330" t="str">
        <f>B24</f>
        <v xml:space="preserve"> </v>
      </c>
      <c r="K24" s="288"/>
      <c r="L24" s="288"/>
      <c r="M24" s="288"/>
      <c r="N24" s="288"/>
      <c r="O24" s="288"/>
      <c r="P24" s="287"/>
      <c r="Q24" s="304">
        <f t="shared" si="9"/>
        <v>0</v>
      </c>
      <c r="S24" s="481">
        <f>IF(OR(AND(Z6="simplifiée",'PA 2'!Z6="simplifiée",'PA 3'!Z6="simplifiée",'PA 4'!Z6="simplifiée",'PA 5'!Z6="simplifiée",'PA 6'!Z6="simplifiée",'PA 7'!Z6="simplifiée",'PA 8'!Z6="simplifiée",'PA 9'!Z6="simplifiée"),(AND(Z7="ordinaire",'PA 2'!Z7="ordinaire",'PA 3'!Z7="ordinaire",'PA 4'!Z7="ordinaire",'PA 5'!Z7="ordinaire",'PA 6'!Z7="ordinaire",'PA 7'!Z7="ordinaire",'PA 8'!Z7="ordinaire",'PA 9'!Z7="ordinaire"))),0,"ATTENTION: la même procédure de décompte AVS doit être utilisée pour tous les prestataires d’assistance!")</f>
        <v>0</v>
      </c>
      <c r="T24" s="482"/>
      <c r="U24" s="483"/>
      <c r="V24" s="370"/>
      <c r="Y24" s="58"/>
      <c r="Z24" s="58"/>
      <c r="AA24" s="58"/>
      <c r="AB24" s="58"/>
      <c r="AC24" s="58"/>
      <c r="AD24" s="58"/>
      <c r="AE24" s="58"/>
      <c r="AF24" s="58"/>
    </row>
    <row r="25" spans="1:37" s="6" customFormat="1" ht="13" x14ac:dyDescent="0.3">
      <c r="A25" s="450" t="str">
        <f>IF(AND(C16="Salaire mensuel",G12="oui"),"Nombre d'engagements de nuit",IF(P10&gt;0.1,"Nombre d'engagements de nuit",""))</f>
        <v/>
      </c>
      <c r="B25" s="270" t="str">
        <f>IF(A25="Nombre d'engagements de nuit","Nb."," ")</f>
        <v xml:space="preserve"> </v>
      </c>
      <c r="C25" s="289"/>
      <c r="D25" s="289"/>
      <c r="E25" s="289"/>
      <c r="F25" s="289"/>
      <c r="G25" s="289"/>
      <c r="H25" s="290"/>
      <c r="I25" s="450" t="str">
        <f t="shared" si="7"/>
        <v/>
      </c>
      <c r="J25" s="270" t="str">
        <f>B25</f>
        <v xml:space="preserve"> </v>
      </c>
      <c r="K25" s="289"/>
      <c r="L25" s="289"/>
      <c r="M25" s="289"/>
      <c r="N25" s="289"/>
      <c r="O25" s="289"/>
      <c r="P25" s="305"/>
      <c r="Q25" s="302">
        <f t="shared" si="9"/>
        <v>0</v>
      </c>
      <c r="R25" s="76"/>
      <c r="S25" s="481"/>
      <c r="T25" s="482"/>
      <c r="U25" s="483"/>
      <c r="V25" s="370"/>
      <c r="W25" s="2">
        <f>IF(S24&gt;1,5,0)</f>
        <v>0</v>
      </c>
      <c r="X25" s="102"/>
      <c r="Y25" s="99"/>
      <c r="Z25" s="100"/>
      <c r="AA25" s="77"/>
      <c r="AB25" s="77"/>
      <c r="AC25" s="77"/>
      <c r="AD25" s="77"/>
      <c r="AE25" s="77"/>
      <c r="AF25" s="77"/>
    </row>
    <row r="26" spans="1:37" s="6" customFormat="1" ht="15" customHeight="1" x14ac:dyDescent="0.3">
      <c r="A26" s="312" t="str">
        <f>IF(AND($C$16="Salaire mensuel",$G$12="oui"),"Nombre d'heures",IF(C16="Salaire horaire",IF(G10="oui","Nombre d'heures I","Nombre d'heures"),""))</f>
        <v/>
      </c>
      <c r="B26" s="271" t="str">
        <f>IF(OR(A26="Nombre d'heures Standard",A26="Nombre d'heures",A26="Nombre d'heures I"),"h"," ")</f>
        <v xml:space="preserve"> </v>
      </c>
      <c r="C26" s="288"/>
      <c r="D26" s="288"/>
      <c r="E26" s="288"/>
      <c r="F26" s="288"/>
      <c r="G26" s="288"/>
      <c r="H26" s="287"/>
      <c r="I26" s="312" t="str">
        <f t="shared" si="7"/>
        <v/>
      </c>
      <c r="J26" s="271" t="str">
        <f>IF(OR(I26="Nombre d'heures Standard",I26="Nombre d'heures",I26="Nombre d'heures I"),"h"," ")</f>
        <v xml:space="preserve"> </v>
      </c>
      <c r="K26" s="288"/>
      <c r="L26" s="288"/>
      <c r="M26" s="288"/>
      <c r="N26" s="288"/>
      <c r="O26" s="288"/>
      <c r="P26" s="287"/>
      <c r="Q26" s="304">
        <f t="shared" si="9"/>
        <v>0</v>
      </c>
      <c r="R26" s="76"/>
      <c r="S26" s="481"/>
      <c r="T26" s="482"/>
      <c r="U26" s="483"/>
      <c r="V26" s="370"/>
      <c r="W26" s="76"/>
      <c r="X26" s="102"/>
      <c r="Y26" s="99"/>
      <c r="Z26" s="59"/>
      <c r="AA26" s="77"/>
      <c r="AB26" s="77"/>
      <c r="AC26" s="77"/>
      <c r="AD26" s="77"/>
      <c r="AE26" s="77"/>
      <c r="AF26" s="77"/>
    </row>
    <row r="27" spans="1:37" s="6" customFormat="1" ht="15" customHeight="1" x14ac:dyDescent="0.3">
      <c r="A27" s="312" t="str">
        <f>IF($C$16="Salaire horaire",IF(G10="oui","Salaire horaire I","Salaire horaire"),"")</f>
        <v/>
      </c>
      <c r="B27" s="270" t="str">
        <f>IF(OR(A27="Salaire horaire Standard",A27="Salaire horaire",A27="Salaire horaire I"),"CHF"," ")</f>
        <v xml:space="preserve"> </v>
      </c>
      <c r="C27" s="237" t="str">
        <f t="shared" ref="C27:H27" si="10">IF($C$16="Salaire horaire",(IF(OR((DATEDIF($F$7,C21,"Y")&lt;20),(DATEDIF($F$7,C21,"Y")&gt;49)),$M$8/110.64%*(C26+C24*$P$7+C25*$P$10),$M$8/108.33%*(C26+C24*$P$7+C25*$P$10))),"")</f>
        <v/>
      </c>
      <c r="D27" s="237" t="str">
        <f t="shared" si="10"/>
        <v/>
      </c>
      <c r="E27" s="237" t="str">
        <f t="shared" si="10"/>
        <v/>
      </c>
      <c r="F27" s="237" t="str">
        <f t="shared" si="10"/>
        <v/>
      </c>
      <c r="G27" s="237" t="str">
        <f t="shared" si="10"/>
        <v/>
      </c>
      <c r="H27" s="238" t="str">
        <f t="shared" si="10"/>
        <v/>
      </c>
      <c r="I27" s="312" t="str">
        <f t="shared" si="7"/>
        <v/>
      </c>
      <c r="J27" s="270" t="str">
        <f>IF(OR(I27="Salaire horaire Standard",I27="Salaire horaire",I27="Salaire horaire I"),"CHF"," ")</f>
        <v xml:space="preserve"> </v>
      </c>
      <c r="K27" s="237" t="str">
        <f t="shared" ref="K27:P27" si="11">IF($C$16="Salaire horaire",(IF(OR((DATEDIF($F$7,K21,"Y")&lt;20),(DATEDIF($F$7,K21,"Y")&gt;49)),$M$8/110.64%*(K26+K24*$P$7+K25*$P$10),$M$8/108.33%*(K26+K24*$P$7+K25*$P$10))),"")</f>
        <v/>
      </c>
      <c r="L27" s="237" t="str">
        <f t="shared" si="11"/>
        <v/>
      </c>
      <c r="M27" s="237" t="str">
        <f t="shared" si="11"/>
        <v/>
      </c>
      <c r="N27" s="237" t="str">
        <f t="shared" si="11"/>
        <v/>
      </c>
      <c r="O27" s="237" t="str">
        <f t="shared" si="11"/>
        <v/>
      </c>
      <c r="P27" s="238" t="str">
        <f t="shared" si="11"/>
        <v/>
      </c>
      <c r="Q27" s="304">
        <f t="shared" si="9"/>
        <v>0</v>
      </c>
      <c r="R27" s="76"/>
      <c r="S27" s="262"/>
      <c r="T27" s="2"/>
      <c r="U27" s="263"/>
      <c r="V27" s="2"/>
      <c r="W27" s="76"/>
      <c r="X27" s="102"/>
      <c r="Y27" s="99"/>
      <c r="Z27" s="59"/>
      <c r="AA27" s="77"/>
      <c r="AB27" s="77"/>
      <c r="AC27" s="77"/>
      <c r="AD27" s="77"/>
      <c r="AE27" s="77"/>
      <c r="AF27" s="77"/>
    </row>
    <row r="28" spans="1:37" s="2" customFormat="1" ht="15" customHeight="1" x14ac:dyDescent="0.25">
      <c r="A28" s="312" t="str">
        <f>IF(G10="oui","Nombre d'heures II","")</f>
        <v/>
      </c>
      <c r="B28" s="271" t="str">
        <f>IF(OR(A28="Nombre d'heures Quali B",A28="Nombre d'heures II"),"h"," ")</f>
        <v xml:space="preserve"> </v>
      </c>
      <c r="C28" s="288"/>
      <c r="D28" s="288"/>
      <c r="E28" s="288"/>
      <c r="F28" s="288"/>
      <c r="G28" s="288"/>
      <c r="H28" s="287"/>
      <c r="I28" s="312" t="str">
        <f t="shared" si="7"/>
        <v/>
      </c>
      <c r="J28" s="271" t="str">
        <f>IF(OR(I28="Nombre d'heures Quali B",I28="Nombre d'heures II"),"h"," ")</f>
        <v xml:space="preserve"> </v>
      </c>
      <c r="K28" s="288"/>
      <c r="L28" s="288"/>
      <c r="M28" s="288"/>
      <c r="N28" s="303"/>
      <c r="O28" s="288"/>
      <c r="P28" s="287"/>
      <c r="Q28" s="304">
        <f t="shared" si="9"/>
        <v>0</v>
      </c>
      <c r="R28" s="78"/>
      <c r="S28" s="481">
        <f>IF(AND(AC6="oui",(G12="oui")),"ATTENTION: le salaire des proches ne doit pas ètre réglé avec la contribution d'assistance d l'AI",0)</f>
        <v>0</v>
      </c>
      <c r="T28" s="482"/>
      <c r="U28" s="483"/>
      <c r="V28" s="370"/>
      <c r="W28" s="78"/>
      <c r="X28" s="101"/>
      <c r="Y28" s="98"/>
    </row>
    <row r="29" spans="1:37" s="6" customFormat="1" ht="15" customHeight="1" x14ac:dyDescent="0.25">
      <c r="A29" s="312" t="str">
        <f>IF(G10="oui","Salaire horaire II","")</f>
        <v/>
      </c>
      <c r="B29" s="270" t="str">
        <f>IF(OR(A29="Salaire horaire Quali B",A29="Salaire horaire II"),"CHF"," ")</f>
        <v xml:space="preserve"> </v>
      </c>
      <c r="C29" s="237" t="str">
        <f t="shared" ref="C29:H29" si="12">IF($C$16="Salaire horaire",(IF(OR((DATEDIF($F$7,C21,"Y")&lt;20),(DATEDIF($F$7,C21,"Y")&gt;49)),$M$13/110.64%*(C28),$M$13/108.33%*(C28))),"")</f>
        <v/>
      </c>
      <c r="D29" s="237" t="str">
        <f t="shared" si="12"/>
        <v/>
      </c>
      <c r="E29" s="237" t="str">
        <f t="shared" si="12"/>
        <v/>
      </c>
      <c r="F29" s="237" t="str">
        <f t="shared" si="12"/>
        <v/>
      </c>
      <c r="G29" s="237" t="str">
        <f t="shared" si="12"/>
        <v/>
      </c>
      <c r="H29" s="238" t="str">
        <f t="shared" si="12"/>
        <v/>
      </c>
      <c r="I29" s="312" t="str">
        <f t="shared" si="7"/>
        <v/>
      </c>
      <c r="J29" s="270" t="str">
        <f>IF(OR(I29="Salaire horaire Quali B",I29="Salaire horaire II"),"CHF"," ")</f>
        <v xml:space="preserve"> </v>
      </c>
      <c r="K29" s="237" t="str">
        <f t="shared" ref="K29:P29" si="13">IF($C$16="Salaire horaire",(IF(OR((DATEDIF($F$7,K21,"Y")&lt;20),(DATEDIF($F$7,K21,"Y")&gt;49)),$M$13/110.64%*(K28),$M$13/108.33%*(K28))),"")</f>
        <v/>
      </c>
      <c r="L29" s="237" t="str">
        <f t="shared" si="13"/>
        <v/>
      </c>
      <c r="M29" s="237" t="str">
        <f t="shared" si="13"/>
        <v/>
      </c>
      <c r="N29" s="237" t="str">
        <f t="shared" si="13"/>
        <v/>
      </c>
      <c r="O29" s="237" t="str">
        <f t="shared" si="13"/>
        <v/>
      </c>
      <c r="P29" s="238" t="str">
        <f t="shared" si="13"/>
        <v/>
      </c>
      <c r="Q29" s="304">
        <f t="shared" si="9"/>
        <v>0</v>
      </c>
      <c r="R29" s="65"/>
      <c r="S29" s="481"/>
      <c r="T29" s="482"/>
      <c r="U29" s="483"/>
      <c r="V29" s="370"/>
      <c r="W29" s="2">
        <f>IF(S28&gt;1,5,0)</f>
        <v>0</v>
      </c>
      <c r="X29" s="103"/>
      <c r="Y29" s="98"/>
      <c r="Z29" s="59"/>
      <c r="AA29" s="59"/>
      <c r="AB29" s="59"/>
      <c r="AC29" s="59"/>
      <c r="AD29" s="59"/>
      <c r="AE29" s="59"/>
      <c r="AF29" s="59"/>
    </row>
    <row r="30" spans="1:37" s="6" customFormat="1" ht="15" customHeight="1" x14ac:dyDescent="0.25">
      <c r="A30" s="312" t="str">
        <f>IF($C$16="Salaire horaire","Supplément de vacances","")</f>
        <v/>
      </c>
      <c r="B30" s="270" t="str">
        <f>IF(A30="Supplément de vacances","CHF"," ")</f>
        <v xml:space="preserve"> </v>
      </c>
      <c r="C30" s="237">
        <f t="shared" ref="C30:H30" si="14">IF($C$16="Salaire horaire",(ROUND(IF(OR((DATEDIF($F$7,C$21,"Y")&lt;20),(DATEDIF($F$7,C$21,"Y")&gt;49)),(C$27+C$29)*10.64%,(C$27+C$29)*8.33%),2)),)</f>
        <v>0</v>
      </c>
      <c r="D30" s="237">
        <f t="shared" si="14"/>
        <v>0</v>
      </c>
      <c r="E30" s="237">
        <f t="shared" si="14"/>
        <v>0</v>
      </c>
      <c r="F30" s="237">
        <f t="shared" si="14"/>
        <v>0</v>
      </c>
      <c r="G30" s="237">
        <f t="shared" si="14"/>
        <v>0</v>
      </c>
      <c r="H30" s="238">
        <f t="shared" si="14"/>
        <v>0</v>
      </c>
      <c r="I30" s="312" t="str">
        <f t="shared" si="7"/>
        <v/>
      </c>
      <c r="J30" s="270" t="str">
        <f>IF(I30="Ferienzuschlag","CHF"," ")</f>
        <v xml:space="preserve"> </v>
      </c>
      <c r="K30" s="237">
        <f t="shared" ref="K30:P30" si="15">IF($C$16="Salaire horaire",(ROUND(IF(OR((DATEDIF($F$7,K$21,"Y")&lt;20),(DATEDIF($F$7,K$21,"Y")&gt;49)),(K$27+K$29)*10.64%,(K$27+K$29)*8.33%),2)),)</f>
        <v>0</v>
      </c>
      <c r="L30" s="237">
        <f t="shared" si="15"/>
        <v>0</v>
      </c>
      <c r="M30" s="237">
        <f t="shared" si="15"/>
        <v>0</v>
      </c>
      <c r="N30" s="237">
        <f t="shared" si="15"/>
        <v>0</v>
      </c>
      <c r="O30" s="237">
        <f t="shared" si="15"/>
        <v>0</v>
      </c>
      <c r="P30" s="238">
        <f t="shared" si="15"/>
        <v>0</v>
      </c>
      <c r="Q30" s="304">
        <f t="shared" si="9"/>
        <v>0</v>
      </c>
      <c r="R30" s="65"/>
      <c r="S30" s="481"/>
      <c r="T30" s="482"/>
      <c r="U30" s="483"/>
      <c r="V30" s="370"/>
      <c r="W30" s="65"/>
      <c r="X30" s="103"/>
      <c r="Y30" s="98"/>
      <c r="Z30" s="59"/>
      <c r="AA30" s="59"/>
      <c r="AB30" s="59"/>
      <c r="AC30" s="59"/>
      <c r="AD30" s="59"/>
      <c r="AE30" s="59"/>
      <c r="AF30" s="59"/>
    </row>
    <row r="31" spans="1:37" s="6" customFormat="1" x14ac:dyDescent="0.25">
      <c r="A31" s="313" t="s">
        <v>135</v>
      </c>
      <c r="B31" s="271" t="s">
        <v>136</v>
      </c>
      <c r="C31" s="382"/>
      <c r="D31" s="384"/>
      <c r="E31" s="384"/>
      <c r="F31" s="384"/>
      <c r="G31" s="384"/>
      <c r="H31" s="383"/>
      <c r="I31" s="313" t="str">
        <f t="shared" si="7"/>
        <v>Repas &amp; logement</v>
      </c>
      <c r="J31" s="271" t="s">
        <v>136</v>
      </c>
      <c r="K31" s="382"/>
      <c r="L31" s="382"/>
      <c r="M31" s="382"/>
      <c r="N31" s="382"/>
      <c r="O31" s="382"/>
      <c r="P31" s="383"/>
      <c r="Q31" s="83">
        <f t="shared" si="9"/>
        <v>0</v>
      </c>
      <c r="R31" s="65"/>
      <c r="S31" s="470">
        <f>IF(AND(M7+M13&gt;8,T11=0),"Remarque: à partir de 8 heures de travail effectives par semaine, l’employé doit avoir souscrit une assurance-accidents non professionnels!",0)</f>
        <v>0</v>
      </c>
      <c r="T31" s="471"/>
      <c r="U31" s="472"/>
      <c r="V31" s="369"/>
      <c r="W31" s="2"/>
      <c r="X31" s="103"/>
      <c r="Y31" s="98"/>
      <c r="Z31" s="59"/>
      <c r="AA31" s="59"/>
      <c r="AB31" s="59"/>
      <c r="AC31" s="59"/>
      <c r="AD31" s="59"/>
      <c r="AE31" s="59"/>
      <c r="AF31" s="59"/>
    </row>
    <row r="32" spans="1:37" s="6" customFormat="1" ht="34.5" x14ac:dyDescent="0.25">
      <c r="A32" s="313" t="s">
        <v>137</v>
      </c>
      <c r="B32" s="272" t="s">
        <v>136</v>
      </c>
      <c r="C32" s="382"/>
      <c r="D32" s="384"/>
      <c r="E32" s="384"/>
      <c r="F32" s="384"/>
      <c r="G32" s="384"/>
      <c r="H32" s="385"/>
      <c r="I32" s="313" t="str">
        <f t="shared" si="7"/>
        <v>Oblig. de verser le salaire (art. 324a CO) (soumis à l'AVS)</v>
      </c>
      <c r="J32" s="272" t="s">
        <v>136</v>
      </c>
      <c r="K32" s="384"/>
      <c r="L32" s="384"/>
      <c r="M32" s="384"/>
      <c r="N32" s="386"/>
      <c r="O32" s="384"/>
      <c r="P32" s="385"/>
      <c r="Q32" s="70">
        <f t="shared" si="9"/>
        <v>0</v>
      </c>
      <c r="R32" s="65"/>
      <c r="S32" s="470"/>
      <c r="T32" s="471"/>
      <c r="U32" s="472"/>
      <c r="V32" s="369"/>
      <c r="W32" s="2">
        <f>IF(S31&gt;1,1,0)</f>
        <v>0</v>
      </c>
      <c r="X32" s="103"/>
      <c r="Y32" s="98"/>
      <c r="Z32" s="59"/>
      <c r="AA32" s="59"/>
      <c r="AB32" s="59"/>
      <c r="AC32" s="59"/>
      <c r="AD32" s="59"/>
      <c r="AE32" s="59"/>
      <c r="AF32" s="59"/>
      <c r="AK32" s="104"/>
    </row>
    <row r="33" spans="1:37" s="6" customFormat="1" ht="23" x14ac:dyDescent="0.25">
      <c r="A33" s="313" t="s">
        <v>138</v>
      </c>
      <c r="B33" s="272" t="s">
        <v>136</v>
      </c>
      <c r="C33" s="382"/>
      <c r="D33" s="384"/>
      <c r="E33" s="384"/>
      <c r="F33" s="384"/>
      <c r="G33" s="384"/>
      <c r="H33" s="385"/>
      <c r="I33" s="313" t="str">
        <f t="shared" si="7"/>
        <v>Oblig. de verser le salaire
(soumis à l'AVS)</v>
      </c>
      <c r="J33" s="272" t="s">
        <v>136</v>
      </c>
      <c r="K33" s="384"/>
      <c r="L33" s="384"/>
      <c r="M33" s="384"/>
      <c r="N33" s="386"/>
      <c r="O33" s="384"/>
      <c r="P33" s="385"/>
      <c r="Q33" s="70">
        <f t="shared" si="9"/>
        <v>0</v>
      </c>
      <c r="R33" s="65"/>
      <c r="S33" s="470">
        <f>IF(DATEDIF($F$7,C21,"Y")&lt;17,0,IF($C$67="oui",0,IF(AND(U2&gt;Grundlagen!$B$8-0.01,SUM(T15:T16)=0),"Remarque: si le salaire annuel brut AVS dépasse " &amp; Grundlagen!$B$8 &amp;" la personne doit être impérativement assurée auprès d’une institution de prévoyance professionnelle!",0)))</f>
        <v>0</v>
      </c>
      <c r="T33" s="471"/>
      <c r="U33" s="472"/>
      <c r="V33" s="369"/>
      <c r="W33" s="65"/>
      <c r="X33" s="103"/>
      <c r="Y33" s="98"/>
      <c r="Z33" s="59"/>
      <c r="AA33" s="59"/>
      <c r="AB33" s="59"/>
      <c r="AC33" s="59"/>
      <c r="AD33" s="59"/>
      <c r="AE33" s="59"/>
      <c r="AF33" s="59"/>
      <c r="AK33" s="104"/>
    </row>
    <row r="34" spans="1:37" s="6" customFormat="1" ht="23" x14ac:dyDescent="0.25">
      <c r="A34" s="314" t="s">
        <v>139</v>
      </c>
      <c r="B34" s="273" t="s">
        <v>136</v>
      </c>
      <c r="C34" s="382"/>
      <c r="D34" s="384"/>
      <c r="E34" s="384"/>
      <c r="F34" s="384"/>
      <c r="G34" s="384"/>
      <c r="H34" s="385"/>
      <c r="I34" s="314" t="str">
        <f t="shared" si="7"/>
        <v>Allocation maternité / militaire (soumis à l'AVS)</v>
      </c>
      <c r="J34" s="273" t="s">
        <v>136</v>
      </c>
      <c r="K34" s="384"/>
      <c r="L34" s="384"/>
      <c r="M34" s="384"/>
      <c r="N34" s="386"/>
      <c r="O34" s="384"/>
      <c r="P34" s="385"/>
      <c r="Q34" s="70">
        <f t="shared" si="9"/>
        <v>0</v>
      </c>
      <c r="R34" s="57"/>
      <c r="S34" s="470"/>
      <c r="T34" s="471"/>
      <c r="U34" s="472"/>
      <c r="V34" s="369"/>
      <c r="W34" s="2">
        <f>IF(S33&gt;1,1,0)</f>
        <v>0</v>
      </c>
      <c r="X34" s="101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</row>
    <row r="35" spans="1:37" s="2" customFormat="1" ht="23" x14ac:dyDescent="0.25">
      <c r="A35" s="314" t="s">
        <v>140</v>
      </c>
      <c r="B35" s="273" t="s">
        <v>136</v>
      </c>
      <c r="C35" s="382"/>
      <c r="D35" s="384"/>
      <c r="E35" s="384"/>
      <c r="F35" s="384"/>
      <c r="G35" s="384"/>
      <c r="H35" s="385"/>
      <c r="I35" s="314" t="str">
        <f t="shared" si="7"/>
        <v>Indemnité d'assurance
(non soumis AVS)</v>
      </c>
      <c r="J35" s="273" t="s">
        <v>136</v>
      </c>
      <c r="K35" s="384"/>
      <c r="L35" s="384"/>
      <c r="M35" s="384"/>
      <c r="N35" s="386"/>
      <c r="O35" s="384"/>
      <c r="P35" s="385"/>
      <c r="Q35" s="70">
        <f t="shared" si="9"/>
        <v>0</v>
      </c>
      <c r="R35" s="57"/>
      <c r="S35" s="470"/>
      <c r="T35" s="471"/>
      <c r="U35" s="472"/>
      <c r="V35" s="369"/>
      <c r="W35" s="57"/>
      <c r="X35" s="101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</row>
    <row r="36" spans="1:37" s="2" customFormat="1" ht="15" customHeight="1" x14ac:dyDescent="0.25">
      <c r="A36" s="312" t="s">
        <v>141</v>
      </c>
      <c r="B36" s="271" t="s">
        <v>136</v>
      </c>
      <c r="C36" s="382"/>
      <c r="D36" s="384"/>
      <c r="E36" s="384"/>
      <c r="F36" s="384"/>
      <c r="G36" s="384"/>
      <c r="H36" s="385"/>
      <c r="I36" s="312" t="str">
        <f t="shared" si="7"/>
        <v>Allocations familiales</v>
      </c>
      <c r="J36" s="271" t="s">
        <v>136</v>
      </c>
      <c r="K36" s="384"/>
      <c r="L36" s="384"/>
      <c r="M36" s="384"/>
      <c r="N36" s="386"/>
      <c r="O36" s="384"/>
      <c r="P36" s="385"/>
      <c r="Q36" s="70">
        <f t="shared" si="9"/>
        <v>0</v>
      </c>
      <c r="R36" s="57"/>
      <c r="S36" s="470">
        <f>IF(M8="",0,IF($C$16="Salaire horaire",(IF(AC6="non",IF(AND(AC6="non",AD7="oui"),0,"ATTENTION: le modèle bernois reconnaît un salaire horaire minimum de CHF 21.60 et maximum de CHF 56.50 pour les personnes autres que les proches."),IF(AND(AC6="oui",AD6="oui"),0,"ATTENTION: le modèle bernois reconnaît un salaire horaire minimum de CHF 21.60 pour les proches."))),(IF(AC6="non",IF(AND(AC6="non",AD7="oui"),(IF(AD8="oui","ATTENTION: pour les personnes autres que les proches, le modèle bernois reconnaît un salaire mensuel maximum de CHF 9'500 + 13e salaire ou de CHF 10'290 sans 13e salaire. Veuillez contrôler le taux d’occupation.",0)),"ATTENTION: pour les personnes autres que les proches, le modèle bernois reconnaît un salaire mensuel minimum de CHF 3'630 + 13e salaire ou de CHF 3'930 sans 13e salaire. Veuillez contrôler le taux d’occupation."),IF(AND(AC6="oui",AD6="oui"),0,"ATTENTION: pour les proches, le modèle bernois reconnaît un salaire mensuel de CHF 3'630 + 13e salaire ou de CHF 3'930 sans 13e salaire. Veuillez contrôler le taux d’occupation.")))))</f>
        <v>0</v>
      </c>
      <c r="T36" s="471"/>
      <c r="U36" s="472"/>
      <c r="V36" s="369"/>
      <c r="W36" s="57"/>
      <c r="X36" s="105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</row>
    <row r="37" spans="1:37" s="2" customFormat="1" ht="15" customHeight="1" x14ac:dyDescent="0.25">
      <c r="A37" s="315" t="s">
        <v>142</v>
      </c>
      <c r="B37" s="274" t="s">
        <v>136</v>
      </c>
      <c r="C37" s="291">
        <f t="shared" ref="C37:H37" si="16">MROUND(IF($C$16="Salaire horaire",SUM(C27,C29,C30,C31,C32,C33,C34,C35,C36),SUM(C22,C23,C30,C31,C32,C33,C34,C35,C36)),0.05)</f>
        <v>0</v>
      </c>
      <c r="D37" s="291">
        <f t="shared" si="16"/>
        <v>0</v>
      </c>
      <c r="E37" s="291">
        <f t="shared" si="16"/>
        <v>0</v>
      </c>
      <c r="F37" s="291">
        <f t="shared" si="16"/>
        <v>0</v>
      </c>
      <c r="G37" s="291">
        <f t="shared" si="16"/>
        <v>0</v>
      </c>
      <c r="H37" s="242">
        <f t="shared" si="16"/>
        <v>0</v>
      </c>
      <c r="I37" s="315" t="str">
        <f t="shared" si="7"/>
        <v>Salaire brut</v>
      </c>
      <c r="J37" s="274" t="s">
        <v>136</v>
      </c>
      <c r="K37" s="291">
        <f t="shared" ref="K37:P37" si="17">MROUND(IF($C$16="Salaire horaire",SUM(K27,K29,K30,K31,K32,K33,K34,K35,K36),SUM(K22,K23,K30,K31,K32,K33,K34,K35,K36)),0.05)</f>
        <v>0</v>
      </c>
      <c r="L37" s="291">
        <f t="shared" si="17"/>
        <v>0</v>
      </c>
      <c r="M37" s="291">
        <f t="shared" si="17"/>
        <v>0</v>
      </c>
      <c r="N37" s="291">
        <f t="shared" si="17"/>
        <v>0</v>
      </c>
      <c r="O37" s="291">
        <f t="shared" si="17"/>
        <v>0</v>
      </c>
      <c r="P37" s="242">
        <f t="shared" si="17"/>
        <v>0</v>
      </c>
      <c r="Q37" s="242">
        <f t="shared" si="9"/>
        <v>0</v>
      </c>
      <c r="R37" s="57"/>
      <c r="S37" s="470"/>
      <c r="T37" s="471"/>
      <c r="U37" s="472"/>
      <c r="V37" s="369"/>
      <c r="W37" s="2">
        <f>IF(S36&gt;1,5,0)</f>
        <v>0</v>
      </c>
      <c r="X37" s="101"/>
      <c r="Y37" s="170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</row>
    <row r="38" spans="1:37" s="2" customFormat="1" ht="15" customHeight="1" x14ac:dyDescent="0.25">
      <c r="A38" s="312" t="s">
        <v>143</v>
      </c>
      <c r="B38" s="275" t="s">
        <v>136</v>
      </c>
      <c r="C38" s="404">
        <f>C$80</f>
        <v>0</v>
      </c>
      <c r="D38" s="404">
        <f t="shared" ref="D38:H38" si="18">D$80</f>
        <v>0</v>
      </c>
      <c r="E38" s="404">
        <f t="shared" si="18"/>
        <v>0</v>
      </c>
      <c r="F38" s="404">
        <f t="shared" si="18"/>
        <v>0</v>
      </c>
      <c r="G38" s="404">
        <f t="shared" si="18"/>
        <v>0</v>
      </c>
      <c r="H38" s="405">
        <f t="shared" si="18"/>
        <v>0</v>
      </c>
      <c r="I38" s="312" t="str">
        <f t="shared" si="7"/>
        <v>Franchise rentier AVS</v>
      </c>
      <c r="J38" s="275" t="s">
        <v>136</v>
      </c>
      <c r="K38" s="404">
        <f>K$80</f>
        <v>0</v>
      </c>
      <c r="L38" s="404">
        <f t="shared" ref="L38:P38" si="19">L$80</f>
        <v>0</v>
      </c>
      <c r="M38" s="404">
        <f t="shared" si="19"/>
        <v>0</v>
      </c>
      <c r="N38" s="404">
        <f t="shared" si="19"/>
        <v>0</v>
      </c>
      <c r="O38" s="404">
        <f t="shared" si="19"/>
        <v>0</v>
      </c>
      <c r="P38" s="405">
        <f t="shared" si="19"/>
        <v>0</v>
      </c>
      <c r="Q38" s="307">
        <f>SUM(C38:H38)+SUM(K38:P38)</f>
        <v>0</v>
      </c>
      <c r="R38" s="57"/>
      <c r="S38" s="470"/>
      <c r="T38" s="471"/>
      <c r="U38" s="472"/>
      <c r="V38" s="369"/>
      <c r="W38" s="57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</row>
    <row r="39" spans="1:37" s="6" customFormat="1" ht="15" customHeight="1" x14ac:dyDescent="0.25">
      <c r="A39" s="315" t="s">
        <v>144</v>
      </c>
      <c r="B39" s="274" t="s">
        <v>136</v>
      </c>
      <c r="C39" s="291">
        <f>C37-C36-C35-C38</f>
        <v>0</v>
      </c>
      <c r="D39" s="291">
        <f t="shared" ref="D39:H39" si="20">D37-D36-D35-D38</f>
        <v>0</v>
      </c>
      <c r="E39" s="291">
        <f t="shared" si="20"/>
        <v>0</v>
      </c>
      <c r="F39" s="291">
        <f t="shared" si="20"/>
        <v>0</v>
      </c>
      <c r="G39" s="291">
        <f t="shared" si="20"/>
        <v>0</v>
      </c>
      <c r="H39" s="242">
        <f t="shared" si="20"/>
        <v>0</v>
      </c>
      <c r="I39" s="315" t="str">
        <f t="shared" si="7"/>
        <v>AVS montant brut</v>
      </c>
      <c r="J39" s="274" t="s">
        <v>136</v>
      </c>
      <c r="K39" s="291">
        <f t="shared" ref="K39:P39" si="21">K37-K36-K35-K38</f>
        <v>0</v>
      </c>
      <c r="L39" s="291">
        <f t="shared" si="21"/>
        <v>0</v>
      </c>
      <c r="M39" s="291">
        <f t="shared" si="21"/>
        <v>0</v>
      </c>
      <c r="N39" s="306">
        <f t="shared" si="21"/>
        <v>0</v>
      </c>
      <c r="O39" s="291">
        <f t="shared" si="21"/>
        <v>0</v>
      </c>
      <c r="P39" s="242">
        <f t="shared" si="21"/>
        <v>0</v>
      </c>
      <c r="Q39" s="242">
        <f>ROUND((SUM(C39:H39)+SUM(K39:P39))*20,0)/20</f>
        <v>0</v>
      </c>
      <c r="R39" s="79"/>
      <c r="S39" s="470"/>
      <c r="T39" s="471"/>
      <c r="U39" s="472"/>
      <c r="V39" s="369"/>
      <c r="W39" s="79"/>
      <c r="X39" s="2"/>
      <c r="Y39" s="106"/>
      <c r="Z39" s="106"/>
      <c r="AA39" s="106"/>
      <c r="AB39" s="106"/>
      <c r="AC39" s="106"/>
      <c r="AD39" s="106"/>
      <c r="AE39" s="64"/>
      <c r="AF39" s="64"/>
    </row>
    <row r="40" spans="1:37" s="2" customFormat="1" ht="15" customHeight="1" thickBot="1" x14ac:dyDescent="0.3">
      <c r="A40" s="312" t="str">
        <f>CONCATENATE("AVS/AI/APG ",T8*100,"%")</f>
        <v>AVS/AI/APG 0%</v>
      </c>
      <c r="B40" s="276" t="s">
        <v>136</v>
      </c>
      <c r="C40" s="234">
        <f>C$39*-$T$8</f>
        <v>0</v>
      </c>
      <c r="D40" s="234">
        <f t="shared" ref="D40:H40" si="22">D$39*-$T$8</f>
        <v>0</v>
      </c>
      <c r="E40" s="234">
        <f t="shared" si="22"/>
        <v>0</v>
      </c>
      <c r="F40" s="234">
        <f t="shared" si="22"/>
        <v>0</v>
      </c>
      <c r="G40" s="234">
        <f t="shared" si="22"/>
        <v>0</v>
      </c>
      <c r="H40" s="235">
        <f t="shared" si="22"/>
        <v>0</v>
      </c>
      <c r="I40" s="327" t="str">
        <f t="shared" si="7"/>
        <v>AVS/AI/APG 0%</v>
      </c>
      <c r="J40" s="276" t="s">
        <v>136</v>
      </c>
      <c r="K40" s="234">
        <f t="shared" ref="K40:P40" si="23">K$39*-$T$8</f>
        <v>0</v>
      </c>
      <c r="L40" s="234">
        <f t="shared" si="23"/>
        <v>0</v>
      </c>
      <c r="M40" s="234">
        <f t="shared" si="23"/>
        <v>0</v>
      </c>
      <c r="N40" s="236">
        <f t="shared" si="23"/>
        <v>0</v>
      </c>
      <c r="O40" s="234">
        <f t="shared" si="23"/>
        <v>0</v>
      </c>
      <c r="P40" s="235">
        <f t="shared" si="23"/>
        <v>0</v>
      </c>
      <c r="Q40" s="239">
        <f t="shared" ref="Q40:Q48" si="24">ROUND((SUM(C40:H40)+SUM(K40:P40))*20,0)/20</f>
        <v>0</v>
      </c>
      <c r="R40" s="65"/>
      <c r="S40" s="470"/>
      <c r="T40" s="471"/>
      <c r="U40" s="472"/>
      <c r="V40" s="369"/>
      <c r="W40" s="65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</row>
    <row r="41" spans="1:37" s="6" customFormat="1" ht="15" customHeight="1" x14ac:dyDescent="0.25">
      <c r="A41" s="312" t="str">
        <f>CONCATENATE("AC ",T9*100,"%")</f>
        <v>AC 0%</v>
      </c>
      <c r="B41" s="271" t="s">
        <v>136</v>
      </c>
      <c r="C41" s="237">
        <f>IF(C$38&lt;&gt;0,0,C$39*$T$9*-1)</f>
        <v>0</v>
      </c>
      <c r="D41" s="237">
        <f t="shared" ref="D41:H41" si="25">IF(D$38&lt;&gt;0,0,D$39*$T$9*-1)</f>
        <v>0</v>
      </c>
      <c r="E41" s="237">
        <f t="shared" si="25"/>
        <v>0</v>
      </c>
      <c r="F41" s="237">
        <f t="shared" si="25"/>
        <v>0</v>
      </c>
      <c r="G41" s="237">
        <f t="shared" si="25"/>
        <v>0</v>
      </c>
      <c r="H41" s="238">
        <f t="shared" si="25"/>
        <v>0</v>
      </c>
      <c r="I41" s="327" t="str">
        <f t="shared" si="7"/>
        <v>AC 0%</v>
      </c>
      <c r="J41" s="271" t="s">
        <v>136</v>
      </c>
      <c r="K41" s="237">
        <f>IF(K$38&lt;&gt;0,0,K$39*$T$9*-1)</f>
        <v>0</v>
      </c>
      <c r="L41" s="237">
        <f t="shared" ref="L41:P41" si="26">IF(L$38&lt;&gt;0,0,L$39*$T$9*-1)</f>
        <v>0</v>
      </c>
      <c r="M41" s="237">
        <f t="shared" si="26"/>
        <v>0</v>
      </c>
      <c r="N41" s="237">
        <f t="shared" si="26"/>
        <v>0</v>
      </c>
      <c r="O41" s="237">
        <f t="shared" si="26"/>
        <v>0</v>
      </c>
      <c r="P41" s="238">
        <f t="shared" si="26"/>
        <v>0</v>
      </c>
      <c r="Q41" s="240">
        <f t="shared" si="24"/>
        <v>0</v>
      </c>
      <c r="R41" s="79"/>
      <c r="S41" s="487"/>
      <c r="T41" s="487"/>
      <c r="U41" s="487"/>
      <c r="V41" s="65"/>
      <c r="X41" s="2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</row>
    <row r="42" spans="1:37" s="2" customFormat="1" ht="15" customHeight="1" x14ac:dyDescent="0.25">
      <c r="A42" s="312" t="str">
        <f>IF(T11&lt;0.01,"ANP",(CONCATENATE("ANP ",T11*100,"%")))</f>
        <v>ANP</v>
      </c>
      <c r="B42" s="271" t="s">
        <v>136</v>
      </c>
      <c r="C42" s="382">
        <f t="shared" ref="C42:H42" si="27">(C$37-C$34-C$35-C$36)*-$T$11</f>
        <v>0</v>
      </c>
      <c r="D42" s="382">
        <f t="shared" si="27"/>
        <v>0</v>
      </c>
      <c r="E42" s="382">
        <f t="shared" si="27"/>
        <v>0</v>
      </c>
      <c r="F42" s="382">
        <f t="shared" si="27"/>
        <v>0</v>
      </c>
      <c r="G42" s="382">
        <f t="shared" si="27"/>
        <v>0</v>
      </c>
      <c r="H42" s="383">
        <f t="shared" si="27"/>
        <v>0</v>
      </c>
      <c r="I42" s="327" t="str">
        <f t="shared" si="7"/>
        <v>ANP</v>
      </c>
      <c r="J42" s="271" t="s">
        <v>136</v>
      </c>
      <c r="K42" s="382">
        <f t="shared" ref="K42:P42" si="28">(K$37-K$34-K$35-K$36)*-$T$11</f>
        <v>0</v>
      </c>
      <c r="L42" s="382">
        <f t="shared" si="28"/>
        <v>0</v>
      </c>
      <c r="M42" s="382">
        <f t="shared" si="28"/>
        <v>0</v>
      </c>
      <c r="N42" s="386">
        <f t="shared" si="28"/>
        <v>0</v>
      </c>
      <c r="O42" s="382">
        <f t="shared" si="28"/>
        <v>0</v>
      </c>
      <c r="P42" s="383">
        <f t="shared" si="28"/>
        <v>0</v>
      </c>
      <c r="Q42" s="240">
        <f t="shared" si="24"/>
        <v>0</v>
      </c>
      <c r="R42" s="65"/>
      <c r="S42" s="488"/>
      <c r="T42" s="488"/>
      <c r="U42" s="488"/>
      <c r="V42" s="79"/>
      <c r="W42" s="2">
        <f>IF(S41&gt;1,1,0)</f>
        <v>0</v>
      </c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</row>
    <row r="43" spans="1:37" s="2" customFormat="1" ht="15" customHeight="1" x14ac:dyDescent="0.25">
      <c r="A43" s="312" t="str">
        <f>IF(T13&lt;0.0000001,"IJM",(CONCATENATE("IJM ",T13*100,"%")))</f>
        <v>IJM</v>
      </c>
      <c r="B43" s="271" t="s">
        <v>136</v>
      </c>
      <c r="C43" s="382">
        <f t="shared" ref="C43:H43" si="29">(C$37-C$34-C$35-C$36)*-$T$13</f>
        <v>0</v>
      </c>
      <c r="D43" s="382">
        <f t="shared" si="29"/>
        <v>0</v>
      </c>
      <c r="E43" s="382">
        <f t="shared" si="29"/>
        <v>0</v>
      </c>
      <c r="F43" s="382">
        <f t="shared" si="29"/>
        <v>0</v>
      </c>
      <c r="G43" s="382">
        <f t="shared" si="29"/>
        <v>0</v>
      </c>
      <c r="H43" s="383">
        <f t="shared" si="29"/>
        <v>0</v>
      </c>
      <c r="I43" s="327" t="str">
        <f t="shared" si="7"/>
        <v>IJM</v>
      </c>
      <c r="J43" s="271" t="s">
        <v>136</v>
      </c>
      <c r="K43" s="382">
        <f t="shared" ref="K43:P43" si="30">(K$37-K$34-K$35-K$36)*-$T$13</f>
        <v>0</v>
      </c>
      <c r="L43" s="382">
        <f t="shared" si="30"/>
        <v>0</v>
      </c>
      <c r="M43" s="382">
        <f t="shared" si="30"/>
        <v>0</v>
      </c>
      <c r="N43" s="386">
        <f t="shared" si="30"/>
        <v>0</v>
      </c>
      <c r="O43" s="382">
        <f t="shared" si="30"/>
        <v>0</v>
      </c>
      <c r="P43" s="383">
        <f t="shared" si="30"/>
        <v>0</v>
      </c>
      <c r="Q43" s="240">
        <f t="shared" si="24"/>
        <v>0</v>
      </c>
      <c r="R43" s="65"/>
      <c r="S43" s="488"/>
      <c r="T43" s="488"/>
      <c r="U43" s="488"/>
      <c r="V43" s="65"/>
      <c r="W43" s="65"/>
      <c r="X43" s="101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245"/>
    </row>
    <row r="44" spans="1:37" s="2" customFormat="1" ht="15" customHeight="1" x14ac:dyDescent="0.25">
      <c r="A44" s="312" t="str">
        <f>IF(T16&gt;0.01%,(CONCATENATE("LPP ",T16*100,"%")),IF(T15&lt;0.01,"LPP",(CONCATENATE("LPP ","CHF ",T15))))</f>
        <v>LPP</v>
      </c>
      <c r="B44" s="271" t="s">
        <v>136</v>
      </c>
      <c r="C44" s="382">
        <f t="shared" ref="C44:H44" si="31">IF(OR(C$39=0,C$67="oui",DATEDIF($F$7,$A$21,"Y")&lt;18),0,IF($T$16&gt;0.1%,-$T$16*C$39,-$T$15))</f>
        <v>0</v>
      </c>
      <c r="D44" s="382">
        <f t="shared" si="31"/>
        <v>0</v>
      </c>
      <c r="E44" s="382">
        <f t="shared" si="31"/>
        <v>0</v>
      </c>
      <c r="F44" s="382">
        <f t="shared" si="31"/>
        <v>0</v>
      </c>
      <c r="G44" s="382">
        <f t="shared" si="31"/>
        <v>0</v>
      </c>
      <c r="H44" s="383">
        <f t="shared" si="31"/>
        <v>0</v>
      </c>
      <c r="I44" s="327" t="str">
        <f t="shared" si="7"/>
        <v>LPP</v>
      </c>
      <c r="J44" s="271" t="s">
        <v>136</v>
      </c>
      <c r="K44" s="382">
        <f t="shared" ref="K44:P44" si="32">IF(OR(K$39=0,K$67="oui",DATEDIF($F$7,$A$21,"Y")&lt;18),0,IF($T$16&gt;0.1%,-$T$16*K$39,-$T$15))</f>
        <v>0</v>
      </c>
      <c r="L44" s="382">
        <f t="shared" si="32"/>
        <v>0</v>
      </c>
      <c r="M44" s="382">
        <f t="shared" si="32"/>
        <v>0</v>
      </c>
      <c r="N44" s="382">
        <f t="shared" si="32"/>
        <v>0</v>
      </c>
      <c r="O44" s="382">
        <f t="shared" si="32"/>
        <v>0</v>
      </c>
      <c r="P44" s="383">
        <f t="shared" si="32"/>
        <v>0</v>
      </c>
      <c r="Q44" s="240">
        <f t="shared" si="24"/>
        <v>0</v>
      </c>
      <c r="R44" s="65"/>
      <c r="S44" s="65"/>
      <c r="T44" s="65"/>
      <c r="U44" s="65"/>
      <c r="V44" s="65"/>
      <c r="W44" s="101"/>
      <c r="X44" s="59"/>
      <c r="Y44" s="59"/>
      <c r="Z44" s="59"/>
      <c r="AA44" s="59"/>
      <c r="AB44" s="59"/>
      <c r="AC44" s="59"/>
      <c r="AD44" s="59"/>
      <c r="AE44" s="59"/>
    </row>
    <row r="45" spans="1:37" s="2" customFormat="1" ht="15" customHeight="1" x14ac:dyDescent="0.25">
      <c r="A45" s="312" t="str">
        <f>IF(G13="à choisir","",IF(OR(Y9&lt;5%,G13="ordinaire",)," ",(CONCATENATE("Impôt selon LTN ",Y9*100,"%"))))</f>
        <v/>
      </c>
      <c r="B45" s="270" t="str">
        <f>IF(A45="Impôt selon LTN 5%","CHF"," ")</f>
        <v xml:space="preserve"> </v>
      </c>
      <c r="C45" s="382">
        <f t="shared" ref="C45:H45" si="33">IF(C39+C38=0,0,IF(C$67="no",C39*-$Y$9,IF(AND(C38&gt;1),(C39+C38)*-$Y$9,C39*-$Y$9)))</f>
        <v>0</v>
      </c>
      <c r="D45" s="382">
        <f t="shared" si="33"/>
        <v>0</v>
      </c>
      <c r="E45" s="382">
        <f t="shared" si="33"/>
        <v>0</v>
      </c>
      <c r="F45" s="382">
        <f t="shared" si="33"/>
        <v>0</v>
      </c>
      <c r="G45" s="382">
        <f t="shared" si="33"/>
        <v>0</v>
      </c>
      <c r="H45" s="383">
        <f t="shared" si="33"/>
        <v>0</v>
      </c>
      <c r="I45" s="312" t="str">
        <f t="shared" si="7"/>
        <v/>
      </c>
      <c r="J45" s="270" t="str">
        <f>IF(I45="QST gem. BGSA 5%","CHF"," ")</f>
        <v xml:space="preserve"> </v>
      </c>
      <c r="K45" s="382">
        <f t="shared" ref="K45:P45" si="34">IF(K39+K38=0,0,IF(K$67="no",K39*-$Y$9,IF(AND(K38&gt;1),(K39+K38)*-$Y$9,K39*-$Y$9)))</f>
        <v>0</v>
      </c>
      <c r="L45" s="382">
        <f t="shared" si="34"/>
        <v>0</v>
      </c>
      <c r="M45" s="382">
        <f t="shared" si="34"/>
        <v>0</v>
      </c>
      <c r="N45" s="382">
        <f t="shared" si="34"/>
        <v>0</v>
      </c>
      <c r="O45" s="382">
        <f t="shared" si="34"/>
        <v>0</v>
      </c>
      <c r="P45" s="383">
        <f t="shared" si="34"/>
        <v>0</v>
      </c>
      <c r="Q45" s="304">
        <f>ROUND((SUM(C45:H45)+SUM(K45:P45))*20,0)/20</f>
        <v>0</v>
      </c>
      <c r="R45" s="65"/>
      <c r="S45" s="65"/>
      <c r="T45" s="65"/>
      <c r="U45" s="65"/>
      <c r="V45" s="65"/>
      <c r="W45" s="79">
        <f>SUM(W21:W43)</f>
        <v>0</v>
      </c>
      <c r="X45" s="58"/>
      <c r="Y45" s="59"/>
      <c r="Z45" s="59"/>
      <c r="AA45" s="59"/>
      <c r="AB45" s="59"/>
      <c r="AC45" s="59"/>
      <c r="AD45" s="59"/>
      <c r="AE45" s="59"/>
    </row>
    <row r="46" spans="1:37" s="2" customFormat="1" ht="15" customHeight="1" x14ac:dyDescent="0.25">
      <c r="A46" s="312" t="str">
        <f>IF(G13="ordinaire","Impôt à la source","")</f>
        <v/>
      </c>
      <c r="B46" s="270" t="str">
        <f>IF(A46="Impôt à la source","CHF"," ")</f>
        <v xml:space="preserve"> </v>
      </c>
      <c r="C46" s="382"/>
      <c r="D46" s="382"/>
      <c r="E46" s="382"/>
      <c r="F46" s="382"/>
      <c r="G46" s="382"/>
      <c r="H46" s="385"/>
      <c r="I46" s="327" t="str">
        <f t="shared" si="7"/>
        <v/>
      </c>
      <c r="J46" s="270" t="str">
        <f>IF(I46="QST","CHF"," ")</f>
        <v xml:space="preserve"> </v>
      </c>
      <c r="K46" s="384"/>
      <c r="L46" s="384"/>
      <c r="M46" s="384"/>
      <c r="N46" s="386"/>
      <c r="O46" s="384"/>
      <c r="P46" s="385"/>
      <c r="Q46" s="70">
        <f t="shared" si="24"/>
        <v>0</v>
      </c>
      <c r="R46" s="65"/>
      <c r="S46" s="65"/>
      <c r="T46" s="65"/>
      <c r="U46" s="65"/>
      <c r="V46" s="65"/>
      <c r="W46" s="101"/>
      <c r="X46" s="59"/>
      <c r="Y46" s="59"/>
      <c r="Z46" s="59"/>
      <c r="AA46" s="59"/>
      <c r="AB46" s="59"/>
      <c r="AC46" s="59"/>
      <c r="AD46" s="59"/>
      <c r="AE46" s="59"/>
    </row>
    <row r="47" spans="1:37" s="2" customFormat="1" ht="15" customHeight="1" x14ac:dyDescent="0.25">
      <c r="A47" s="312" t="s">
        <v>145</v>
      </c>
      <c r="B47" s="271" t="s">
        <v>136</v>
      </c>
      <c r="C47" s="382"/>
      <c r="D47" s="384"/>
      <c r="E47" s="384"/>
      <c r="F47" s="384"/>
      <c r="G47" s="384"/>
      <c r="H47" s="385"/>
      <c r="I47" s="327" t="str">
        <f t="shared" si="7"/>
        <v>Frais effectifs</v>
      </c>
      <c r="J47" s="271" t="s">
        <v>136</v>
      </c>
      <c r="K47" s="384"/>
      <c r="L47" s="384"/>
      <c r="M47" s="384"/>
      <c r="N47" s="386"/>
      <c r="O47" s="384"/>
      <c r="P47" s="385"/>
      <c r="Q47" s="70">
        <f t="shared" si="24"/>
        <v>0</v>
      </c>
      <c r="R47" s="172"/>
      <c r="S47" s="65"/>
      <c r="T47" s="65"/>
      <c r="U47" s="65"/>
      <c r="V47" s="172"/>
      <c r="W47" s="101"/>
      <c r="X47" s="58"/>
      <c r="Y47" s="59"/>
      <c r="Z47" s="59"/>
      <c r="AA47" s="59"/>
      <c r="AB47" s="59"/>
      <c r="AC47" s="59"/>
      <c r="AD47" s="59"/>
      <c r="AE47" s="59"/>
    </row>
    <row r="48" spans="1:37" s="2" customFormat="1" ht="15" customHeight="1" x14ac:dyDescent="0.25">
      <c r="A48" s="316" t="s">
        <v>135</v>
      </c>
      <c r="B48" s="275" t="s">
        <v>136</v>
      </c>
      <c r="C48" s="382">
        <f>-C31</f>
        <v>0</v>
      </c>
      <c r="D48" s="384">
        <f t="shared" ref="D48:H48" si="35">-D31</f>
        <v>0</v>
      </c>
      <c r="E48" s="384">
        <f t="shared" si="35"/>
        <v>0</v>
      </c>
      <c r="F48" s="384">
        <f t="shared" si="35"/>
        <v>0</v>
      </c>
      <c r="G48" s="384">
        <f t="shared" si="35"/>
        <v>0</v>
      </c>
      <c r="H48" s="385">
        <f t="shared" si="35"/>
        <v>0</v>
      </c>
      <c r="I48" s="328" t="str">
        <f t="shared" si="7"/>
        <v>Repas &amp; logement</v>
      </c>
      <c r="J48" s="275" t="s">
        <v>136</v>
      </c>
      <c r="K48" s="384">
        <f t="shared" ref="K48:P48" si="36">-K31</f>
        <v>0</v>
      </c>
      <c r="L48" s="384">
        <f t="shared" si="36"/>
        <v>0</v>
      </c>
      <c r="M48" s="384">
        <f t="shared" si="36"/>
        <v>0</v>
      </c>
      <c r="N48" s="386">
        <f t="shared" si="36"/>
        <v>0</v>
      </c>
      <c r="O48" s="384">
        <f t="shared" si="36"/>
        <v>0</v>
      </c>
      <c r="P48" s="385">
        <f t="shared" si="36"/>
        <v>0</v>
      </c>
      <c r="Q48" s="241">
        <f t="shared" si="24"/>
        <v>0</v>
      </c>
      <c r="R48" s="57"/>
      <c r="S48" s="172"/>
      <c r="T48" s="172"/>
      <c r="U48" s="172"/>
      <c r="V48" s="57"/>
      <c r="W48" s="101"/>
      <c r="X48" s="58"/>
      <c r="Y48" s="59"/>
      <c r="Z48" s="59"/>
      <c r="AA48" s="59"/>
      <c r="AB48" s="59"/>
      <c r="AC48" s="59"/>
      <c r="AD48" s="59"/>
      <c r="AE48" s="59"/>
    </row>
    <row r="49" spans="1:31" s="2" customFormat="1" ht="15" customHeight="1" x14ac:dyDescent="0.25">
      <c r="A49" s="335" t="s">
        <v>146</v>
      </c>
      <c r="B49" s="336" t="s">
        <v>136</v>
      </c>
      <c r="C49" s="331">
        <f>MROUND(C37+(SUM(C40:C46)+C47+C48),0.05)</f>
        <v>0</v>
      </c>
      <c r="D49" s="331">
        <f t="shared" ref="D49:H49" si="37">MROUND(D37+(SUM(D40:D46)+D47+D48),0.05)</f>
        <v>0</v>
      </c>
      <c r="E49" s="331">
        <f t="shared" si="37"/>
        <v>0</v>
      </c>
      <c r="F49" s="331">
        <f t="shared" si="37"/>
        <v>0</v>
      </c>
      <c r="G49" s="331">
        <f t="shared" si="37"/>
        <v>0</v>
      </c>
      <c r="H49" s="333">
        <f t="shared" si="37"/>
        <v>0</v>
      </c>
      <c r="I49" s="335" t="str">
        <f t="shared" si="7"/>
        <v>Salaire net</v>
      </c>
      <c r="J49" s="336" t="s">
        <v>136</v>
      </c>
      <c r="K49" s="331">
        <f t="shared" ref="K49:P49" si="38">MROUND(K37+(SUM(K40:K46)+K47+K48),0.05)</f>
        <v>0</v>
      </c>
      <c r="L49" s="331">
        <f t="shared" si="38"/>
        <v>0</v>
      </c>
      <c r="M49" s="331">
        <f t="shared" si="38"/>
        <v>0</v>
      </c>
      <c r="N49" s="331">
        <f t="shared" si="38"/>
        <v>0</v>
      </c>
      <c r="O49" s="331">
        <f t="shared" si="38"/>
        <v>0</v>
      </c>
      <c r="P49" s="333">
        <f t="shared" si="38"/>
        <v>0</v>
      </c>
      <c r="Q49" s="242">
        <f>SUM(C49:H49)+SUM(K49:P49)</f>
        <v>0</v>
      </c>
      <c r="R49" s="57"/>
      <c r="S49" s="57"/>
      <c r="T49" s="57"/>
      <c r="U49" s="57"/>
      <c r="V49" s="57"/>
      <c r="W49" s="101"/>
      <c r="X49" s="58"/>
      <c r="Y49" s="59"/>
      <c r="Z49" s="59"/>
      <c r="AA49" s="59"/>
      <c r="AB49" s="59"/>
      <c r="AC49" s="59"/>
      <c r="AD49" s="59"/>
      <c r="AE49" s="59"/>
    </row>
    <row r="50" spans="1:31" s="2" customFormat="1" ht="15" customHeight="1" x14ac:dyDescent="0.25">
      <c r="A50" s="337" t="s">
        <v>147</v>
      </c>
      <c r="B50" s="330" t="s">
        <v>136</v>
      </c>
      <c r="C50" s="382"/>
      <c r="D50" s="382"/>
      <c r="E50" s="382"/>
      <c r="F50" s="382"/>
      <c r="G50" s="382"/>
      <c r="H50" s="383"/>
      <c r="I50" s="337" t="str">
        <f t="shared" si="7"/>
        <v>Salaire net payé</v>
      </c>
      <c r="J50" s="330" t="s">
        <v>136</v>
      </c>
      <c r="K50" s="382"/>
      <c r="L50" s="382"/>
      <c r="M50" s="382"/>
      <c r="N50" s="382"/>
      <c r="O50" s="382"/>
      <c r="P50" s="383"/>
      <c r="Q50" s="309">
        <f>SUM(C50:H50)+SUM(K50:P50)</f>
        <v>0</v>
      </c>
      <c r="R50" s="57"/>
      <c r="S50" s="57"/>
      <c r="T50" s="57"/>
      <c r="U50" s="57"/>
      <c r="V50" s="57"/>
      <c r="W50" s="101"/>
      <c r="X50" s="58"/>
      <c r="Y50" s="59"/>
      <c r="Z50" s="59"/>
      <c r="AA50" s="59"/>
      <c r="AB50" s="59"/>
      <c r="AC50" s="59"/>
      <c r="AD50" s="59"/>
      <c r="AE50" s="59"/>
    </row>
    <row r="51" spans="1:31" s="2" customFormat="1" ht="15" customHeight="1" x14ac:dyDescent="0.25">
      <c r="A51" s="338" t="s">
        <v>148</v>
      </c>
      <c r="B51" s="339" t="s">
        <v>136</v>
      </c>
      <c r="C51" s="332">
        <f>IF(C50=0,0,C50-C49)</f>
        <v>0</v>
      </c>
      <c r="D51" s="332">
        <f t="shared" ref="D51:H51" si="39">IF(D50=0,0,D50-D49)</f>
        <v>0</v>
      </c>
      <c r="E51" s="332">
        <f t="shared" si="39"/>
        <v>0</v>
      </c>
      <c r="F51" s="332">
        <f t="shared" si="39"/>
        <v>0</v>
      </c>
      <c r="G51" s="332">
        <f t="shared" si="39"/>
        <v>0</v>
      </c>
      <c r="H51" s="334">
        <f t="shared" si="39"/>
        <v>0</v>
      </c>
      <c r="I51" s="338" t="str">
        <f t="shared" si="7"/>
        <v>Différence</v>
      </c>
      <c r="J51" s="339" t="s">
        <v>136</v>
      </c>
      <c r="K51" s="332">
        <f t="shared" ref="K51:P51" si="40">IF(K50=0,0,K50-K49)</f>
        <v>0</v>
      </c>
      <c r="L51" s="332">
        <f t="shared" si="40"/>
        <v>0</v>
      </c>
      <c r="M51" s="332">
        <f t="shared" si="40"/>
        <v>0</v>
      </c>
      <c r="N51" s="332">
        <f t="shared" si="40"/>
        <v>0</v>
      </c>
      <c r="O51" s="332">
        <f t="shared" si="40"/>
        <v>0</v>
      </c>
      <c r="P51" s="334">
        <f t="shared" si="40"/>
        <v>0</v>
      </c>
      <c r="Q51" s="309">
        <f>SUM(C51:H51)+SUM(K51:P51)</f>
        <v>0</v>
      </c>
      <c r="R51" s="57"/>
      <c r="S51" s="57"/>
      <c r="T51" s="57"/>
      <c r="U51" s="57"/>
      <c r="V51" s="57"/>
      <c r="W51" s="101"/>
      <c r="X51" s="58"/>
      <c r="Y51" s="59"/>
      <c r="Z51" s="59"/>
      <c r="AA51" s="59"/>
      <c r="AB51" s="59"/>
      <c r="AC51" s="59"/>
      <c r="AD51" s="59"/>
      <c r="AE51" s="59"/>
    </row>
    <row r="52" spans="1:31" s="2" customFormat="1" ht="15" customHeight="1" x14ac:dyDescent="0.25">
      <c r="A52" s="71" t="s">
        <v>149</v>
      </c>
      <c r="B52" s="326"/>
      <c r="C52" s="458"/>
      <c r="D52" s="458"/>
      <c r="E52" s="458"/>
      <c r="F52" s="458"/>
      <c r="G52" s="458"/>
      <c r="H52" s="462"/>
      <c r="I52" s="71" t="str">
        <f t="shared" si="7"/>
        <v>Remarques</v>
      </c>
      <c r="J52" s="326"/>
      <c r="K52" s="458"/>
      <c r="L52" s="458"/>
      <c r="M52" s="458"/>
      <c r="N52" s="458"/>
      <c r="O52" s="464"/>
      <c r="P52" s="462"/>
      <c r="Q52" s="72">
        <f t="shared" ref="Q52" si="41">SUM(C52:H52)+SUM(K52:P52)</f>
        <v>0</v>
      </c>
      <c r="R52" s="65"/>
      <c r="S52" s="57"/>
      <c r="T52" s="57"/>
      <c r="U52" s="57"/>
      <c r="V52" s="65"/>
      <c r="W52" s="101"/>
      <c r="X52" s="59"/>
      <c r="Y52" s="59"/>
      <c r="Z52" s="59"/>
      <c r="AA52" s="59"/>
      <c r="AB52" s="59"/>
      <c r="AC52" s="59"/>
      <c r="AD52" s="59"/>
      <c r="AE52" s="59"/>
    </row>
    <row r="53" spans="1:31" s="6" customFormat="1" ht="15" customHeight="1" thickBot="1" x14ac:dyDescent="0.3">
      <c r="A53" s="317"/>
      <c r="B53" s="277"/>
      <c r="C53" s="459"/>
      <c r="D53" s="459"/>
      <c r="E53" s="459"/>
      <c r="F53" s="459"/>
      <c r="G53" s="459"/>
      <c r="H53" s="463"/>
      <c r="I53" s="317"/>
      <c r="J53" s="277"/>
      <c r="K53" s="459"/>
      <c r="L53" s="459"/>
      <c r="M53" s="459"/>
      <c r="N53" s="459"/>
      <c r="O53" s="465"/>
      <c r="P53" s="463"/>
      <c r="Q53" s="73"/>
      <c r="R53" s="79"/>
      <c r="S53" s="65"/>
      <c r="T53" s="65"/>
      <c r="U53" s="65"/>
      <c r="V53" s="79"/>
      <c r="W53" s="101"/>
      <c r="X53" s="59"/>
      <c r="Y53" s="59"/>
      <c r="Z53" s="59"/>
      <c r="AA53" s="59"/>
      <c r="AB53" s="59"/>
      <c r="AC53" s="59"/>
      <c r="AD53" s="64"/>
      <c r="AE53" s="64"/>
    </row>
    <row r="54" spans="1:31" s="2" customFormat="1" ht="5.15" customHeight="1" thickBot="1" x14ac:dyDescent="0.35">
      <c r="A54" s="53"/>
      <c r="B54" s="53"/>
      <c r="C54" s="74"/>
      <c r="D54" s="54"/>
      <c r="E54" s="55"/>
      <c r="F54" s="54"/>
      <c r="G54" s="54"/>
      <c r="H54" s="56"/>
      <c r="I54" s="53"/>
      <c r="J54" s="53"/>
      <c r="K54" s="56"/>
      <c r="L54" s="56"/>
      <c r="M54" s="56"/>
      <c r="N54" s="74"/>
      <c r="O54" s="54"/>
      <c r="P54" s="54"/>
      <c r="Q54" s="54">
        <f>SUM(C54:H54)+SUM(K54:P54)</f>
        <v>0</v>
      </c>
      <c r="R54" s="57"/>
      <c r="S54" s="79"/>
      <c r="T54" s="79"/>
      <c r="U54" s="79"/>
      <c r="V54" s="57"/>
      <c r="W54" s="102"/>
      <c r="X54" s="63"/>
      <c r="Y54" s="64"/>
      <c r="Z54" s="64"/>
      <c r="AA54" s="64"/>
      <c r="AB54" s="64"/>
      <c r="AC54" s="64"/>
      <c r="AD54" s="59"/>
      <c r="AE54" s="59"/>
    </row>
    <row r="55" spans="1:31" s="2" customFormat="1" ht="15" customHeight="1" x14ac:dyDescent="0.25">
      <c r="A55" s="318" t="s">
        <v>150</v>
      </c>
      <c r="B55" s="278"/>
      <c r="C55" s="85">
        <f t="shared" ref="C55:H55" si="42">C21</f>
        <v>46023</v>
      </c>
      <c r="D55" s="86">
        <f t="shared" si="42"/>
        <v>46054</v>
      </c>
      <c r="E55" s="86">
        <f t="shared" si="42"/>
        <v>46082</v>
      </c>
      <c r="F55" s="86">
        <f t="shared" si="42"/>
        <v>46113</v>
      </c>
      <c r="G55" s="86">
        <f t="shared" si="42"/>
        <v>46143</v>
      </c>
      <c r="H55" s="87">
        <f t="shared" si="42"/>
        <v>46174</v>
      </c>
      <c r="I55" s="318" t="str">
        <f>A55</f>
        <v>Données pour AssistMe:</v>
      </c>
      <c r="J55" s="278"/>
      <c r="K55" s="86">
        <f t="shared" ref="K55:P55" si="43">K21</f>
        <v>46204</v>
      </c>
      <c r="L55" s="86">
        <f t="shared" si="43"/>
        <v>46235</v>
      </c>
      <c r="M55" s="86">
        <f t="shared" si="43"/>
        <v>46266</v>
      </c>
      <c r="N55" s="88">
        <f t="shared" si="43"/>
        <v>46296</v>
      </c>
      <c r="O55" s="86">
        <f t="shared" si="43"/>
        <v>46327</v>
      </c>
      <c r="P55" s="87">
        <f t="shared" si="43"/>
        <v>46357</v>
      </c>
      <c r="Q55" s="229" t="s">
        <v>134</v>
      </c>
      <c r="R55" s="57"/>
      <c r="S55" s="57"/>
      <c r="T55" s="57"/>
      <c r="U55" s="57"/>
      <c r="V55" s="57"/>
      <c r="W55" s="101"/>
      <c r="X55" s="59"/>
      <c r="Y55" s="59"/>
      <c r="Z55" s="59"/>
      <c r="AA55" s="59"/>
      <c r="AB55" s="59"/>
      <c r="AC55" s="59"/>
      <c r="AD55" s="59"/>
      <c r="AE55" s="59"/>
    </row>
    <row r="56" spans="1:31" s="2" customFormat="1" ht="15" customHeight="1" x14ac:dyDescent="0.25">
      <c r="A56" s="319" t="s">
        <v>151</v>
      </c>
      <c r="B56" s="279" t="s">
        <v>152</v>
      </c>
      <c r="C56" s="292" t="str">
        <f t="shared" ref="C56:H56" si="44">IF($C$16="Salaire horaire",IF($M$8="","",(C25*$P$10)+(C24*$P$7)+C26+C28+(C32+C33)/(IF($M$13&gt;1,((($M$8+$M$13)/2)),$M$8))),"Salaire mensuel")</f>
        <v>Salaire mensuel</v>
      </c>
      <c r="D56" s="292" t="str">
        <f t="shared" si="44"/>
        <v>Salaire mensuel</v>
      </c>
      <c r="E56" s="292" t="str">
        <f t="shared" si="44"/>
        <v>Salaire mensuel</v>
      </c>
      <c r="F56" s="292" t="str">
        <f t="shared" si="44"/>
        <v>Salaire mensuel</v>
      </c>
      <c r="G56" s="292" t="str">
        <f t="shared" si="44"/>
        <v>Salaire mensuel</v>
      </c>
      <c r="H56" s="293" t="str">
        <f t="shared" si="44"/>
        <v>Salaire mensuel</v>
      </c>
      <c r="I56" s="320" t="str">
        <f>A56</f>
        <v>Nombre d'heures</v>
      </c>
      <c r="J56" s="279" t="s">
        <v>153</v>
      </c>
      <c r="K56" s="292" t="str">
        <f t="shared" ref="K56:P56" si="45">IF($C$16="Salaire horaire",IF($M$8="","",(K25*$P$10)+(K24*$P$7)+K26+K28+(K32+K33)/(IF($M$13&gt;1,((($M$8+$M$13)/2)),$M$8))),"Salaire mensuel")</f>
        <v>Salaire mensuel</v>
      </c>
      <c r="L56" s="292" t="str">
        <f t="shared" si="45"/>
        <v>Salaire mensuel</v>
      </c>
      <c r="M56" s="292" t="str">
        <f t="shared" si="45"/>
        <v>Salaire mensuel</v>
      </c>
      <c r="N56" s="292" t="str">
        <f t="shared" si="45"/>
        <v>Salaire mensuel</v>
      </c>
      <c r="O56" s="292" t="str">
        <f t="shared" si="45"/>
        <v>Salaire mensuel</v>
      </c>
      <c r="P56" s="293" t="str">
        <f t="shared" si="45"/>
        <v>Salaire mensuel</v>
      </c>
      <c r="Q56" s="233">
        <f>SUM(C56:H56)+SUM(K56:P56)</f>
        <v>0</v>
      </c>
      <c r="R56" s="57"/>
      <c r="S56" s="57"/>
      <c r="T56" s="57"/>
      <c r="U56" s="57"/>
      <c r="V56" s="57"/>
      <c r="W56" s="101"/>
      <c r="X56" s="59"/>
      <c r="Y56" s="59"/>
      <c r="Z56" s="59"/>
      <c r="AA56" s="59"/>
      <c r="AB56" s="59"/>
      <c r="AC56" s="59"/>
      <c r="AD56" s="59"/>
      <c r="AE56" s="59"/>
    </row>
    <row r="57" spans="1:31" s="2" customFormat="1" ht="15" customHeight="1" x14ac:dyDescent="0.25">
      <c r="A57" s="320" t="s">
        <v>146</v>
      </c>
      <c r="B57" s="280" t="s">
        <v>136</v>
      </c>
      <c r="C57" s="294">
        <f>C49-C48-C47-C46-C36-C35-C34-C31</f>
        <v>0</v>
      </c>
      <c r="D57" s="294">
        <f t="shared" ref="D57:H57" si="46">D49-D48-D47-D46-D36-D35-D34-D31</f>
        <v>0</v>
      </c>
      <c r="E57" s="294">
        <f t="shared" si="46"/>
        <v>0</v>
      </c>
      <c r="F57" s="294">
        <f t="shared" si="46"/>
        <v>0</v>
      </c>
      <c r="G57" s="294">
        <f t="shared" si="46"/>
        <v>0</v>
      </c>
      <c r="H57" s="293">
        <f t="shared" si="46"/>
        <v>0</v>
      </c>
      <c r="I57" s="320" t="str">
        <f>A57</f>
        <v>Salaire net</v>
      </c>
      <c r="J57" s="280" t="s">
        <v>136</v>
      </c>
      <c r="K57" s="60">
        <f t="shared" ref="K57:P57" si="47">K49-K48-K47-K46-K36-K35-K34-K31</f>
        <v>0</v>
      </c>
      <c r="L57" s="60">
        <f t="shared" si="47"/>
        <v>0</v>
      </c>
      <c r="M57" s="60">
        <f t="shared" si="47"/>
        <v>0</v>
      </c>
      <c r="N57" s="301">
        <f t="shared" si="47"/>
        <v>0</v>
      </c>
      <c r="O57" s="60">
        <f t="shared" si="47"/>
        <v>0</v>
      </c>
      <c r="P57" s="61">
        <f t="shared" si="47"/>
        <v>0</v>
      </c>
      <c r="Q57" s="61">
        <f>SUM(C57:H57)+SUM(K57:P57)</f>
        <v>0</v>
      </c>
      <c r="R57" s="57"/>
      <c r="S57" s="57"/>
      <c r="T57" s="57"/>
      <c r="U57" s="57"/>
      <c r="V57" s="57"/>
      <c r="W57" s="101"/>
      <c r="X57" s="58"/>
      <c r="Y57" s="59"/>
      <c r="Z57" s="59"/>
      <c r="AA57" s="59"/>
      <c r="AB57" s="59"/>
      <c r="AC57" s="59"/>
      <c r="AD57" s="59"/>
      <c r="AE57" s="59"/>
    </row>
    <row r="58" spans="1:31" s="2" customFormat="1" ht="15" customHeight="1" thickBot="1" x14ac:dyDescent="0.3">
      <c r="A58" s="321" t="s">
        <v>154</v>
      </c>
      <c r="B58" s="281" t="s">
        <v>136</v>
      </c>
      <c r="C58" s="295">
        <f>IF(C32&gt;0.1,C32-(C32*(SUM($T$8:$T$14)+$Y$9+$T$16))-(C32/IF(C39=0,1,C39)*-C44),IF(C32&lt;-0.1,C32-(C32*(SUM($T$8:$T$14)+$Y$9+$T$16))-(C32/IF(C39=0,1,C39)*-C44),0))</f>
        <v>0</v>
      </c>
      <c r="D58" s="295">
        <f t="shared" ref="D58:H58" si="48">IF(D32&gt;0.1,D32-(D32*(SUM($T$8:$T$14)+$Y$9+$T$16))-(D32/IF(D39=0,1,D39)*-D44),IF(D32&lt;-0.1,D32-(D32*(SUM($T$8:$T$14)+$Y$9+$T$16))-(D32/IF(D39=0,1,D39)*-D44),0))</f>
        <v>0</v>
      </c>
      <c r="E58" s="295">
        <f t="shared" si="48"/>
        <v>0</v>
      </c>
      <c r="F58" s="295">
        <f t="shared" si="48"/>
        <v>0</v>
      </c>
      <c r="G58" s="295">
        <f t="shared" si="48"/>
        <v>0</v>
      </c>
      <c r="H58" s="296">
        <f t="shared" si="48"/>
        <v>0</v>
      </c>
      <c r="I58" s="321" t="str">
        <f>A58</f>
        <v>Dont oblig. de verser le salaire (art. 324a CO)</v>
      </c>
      <c r="J58" s="281" t="s">
        <v>136</v>
      </c>
      <c r="K58" s="295">
        <f t="shared" ref="K58:P58" si="49">IF(K32&gt;0.1,K32-(K32*(SUM($T$8:$T$14)+$Y$9+$T$16))-(K32/IF(K39=0,1,K39)*-K44),IF(K32&lt;-0.1,K32-(K32*(SUM($T$8:$T$14)+$Y$9+$T$16))-(K32/IF(K39=0,1,K39)*-K44),0))</f>
        <v>0</v>
      </c>
      <c r="L58" s="295">
        <f t="shared" si="49"/>
        <v>0</v>
      </c>
      <c r="M58" s="295">
        <f t="shared" si="49"/>
        <v>0</v>
      </c>
      <c r="N58" s="295">
        <f t="shared" si="49"/>
        <v>0</v>
      </c>
      <c r="O58" s="295">
        <f t="shared" si="49"/>
        <v>0</v>
      </c>
      <c r="P58" s="296">
        <f t="shared" si="49"/>
        <v>0</v>
      </c>
      <c r="Q58" s="84">
        <f>SUM(C58:H58)+SUM(K58:P58)</f>
        <v>0</v>
      </c>
      <c r="R58" s="57"/>
      <c r="S58" s="57"/>
      <c r="T58" s="57"/>
      <c r="U58" s="57"/>
      <c r="V58" s="57"/>
      <c r="W58" s="101"/>
      <c r="X58" s="58"/>
      <c r="Y58" s="59"/>
      <c r="Z58" s="59"/>
      <c r="AA58" s="59"/>
      <c r="AB58" s="59"/>
      <c r="AC58" s="59"/>
      <c r="AD58" s="59"/>
      <c r="AE58" s="59"/>
    </row>
    <row r="59" spans="1:31" s="6" customFormat="1" ht="5.15" customHeight="1" thickBot="1" x14ac:dyDescent="0.3">
      <c r="A59" s="2"/>
      <c r="B59" s="2"/>
      <c r="C59" s="65"/>
      <c r="D59" s="57"/>
      <c r="E59" s="66"/>
      <c r="F59" s="57"/>
      <c r="G59" s="57"/>
      <c r="H59" s="67"/>
      <c r="I59" s="2"/>
      <c r="J59" s="2"/>
      <c r="K59" s="67"/>
      <c r="L59" s="67"/>
      <c r="M59" s="67"/>
      <c r="N59" s="65"/>
      <c r="O59" s="57"/>
      <c r="P59" s="57"/>
      <c r="Q59" s="57"/>
      <c r="R59" s="62"/>
      <c r="S59" s="57"/>
      <c r="T59" s="57"/>
      <c r="U59" s="57"/>
      <c r="V59" s="62"/>
      <c r="W59" s="101"/>
      <c r="X59" s="58"/>
      <c r="Y59" s="59"/>
      <c r="Z59" s="59"/>
      <c r="AA59" s="59"/>
      <c r="AB59" s="59"/>
      <c r="AC59" s="59"/>
      <c r="AD59" s="64"/>
      <c r="AE59" s="64"/>
    </row>
    <row r="60" spans="1:31" s="6" customFormat="1" ht="15" customHeight="1" x14ac:dyDescent="0.3">
      <c r="A60" s="322" t="str">
        <f>IF(G12="oui","Contribution d'assistance de l'AI","")</f>
        <v/>
      </c>
      <c r="B60" s="282"/>
      <c r="C60" s="226" t="str">
        <f>IF($G$12="oui",C21,"")</f>
        <v/>
      </c>
      <c r="D60" s="226" t="str">
        <f t="shared" ref="D60:H60" si="50">IF($G$12="oui",D21,"")</f>
        <v/>
      </c>
      <c r="E60" s="226" t="str">
        <f t="shared" si="50"/>
        <v/>
      </c>
      <c r="F60" s="226" t="str">
        <f t="shared" si="50"/>
        <v/>
      </c>
      <c r="G60" s="226" t="str">
        <f t="shared" si="50"/>
        <v/>
      </c>
      <c r="H60" s="227" t="str">
        <f t="shared" si="50"/>
        <v/>
      </c>
      <c r="I60" s="322" t="str">
        <f t="shared" ref="I60:I64" si="51">A60</f>
        <v/>
      </c>
      <c r="J60" s="282"/>
      <c r="K60" s="226" t="str">
        <f>IF($G$12="oui",K21,"")</f>
        <v/>
      </c>
      <c r="L60" s="226" t="str">
        <f t="shared" ref="L60:P60" si="52">IF($G$12="oui",L21,"")</f>
        <v/>
      </c>
      <c r="M60" s="226" t="str">
        <f t="shared" si="52"/>
        <v/>
      </c>
      <c r="N60" s="226" t="str">
        <f t="shared" si="52"/>
        <v/>
      </c>
      <c r="O60" s="226" t="str">
        <f t="shared" si="52"/>
        <v/>
      </c>
      <c r="P60" s="227" t="str">
        <f t="shared" si="52"/>
        <v/>
      </c>
      <c r="Q60" s="230" t="str">
        <f>IF($G$12="Oui","Total","")</f>
        <v/>
      </c>
      <c r="R60" s="62"/>
      <c r="S60" s="62"/>
      <c r="T60" s="62"/>
      <c r="U60" s="62"/>
      <c r="V60" s="62"/>
      <c r="W60" s="102"/>
      <c r="X60" s="63"/>
      <c r="Y60" s="64"/>
      <c r="Z60" s="64"/>
      <c r="AA60" s="64"/>
      <c r="AB60" s="64"/>
      <c r="AC60" s="64"/>
      <c r="AD60" s="64"/>
      <c r="AE60" s="64"/>
    </row>
    <row r="61" spans="1:31" s="2" customFormat="1" ht="15" customHeight="1" x14ac:dyDescent="0.3">
      <c r="A61" s="323" t="str">
        <f>IF(G12="oui","A) Nb. d'heures standard","")</f>
        <v/>
      </c>
      <c r="B61" s="283" t="str">
        <f>IF(G12="oui","h"," ")</f>
        <v xml:space="preserve"> </v>
      </c>
      <c r="C61" s="297" t="str">
        <f>IF($G$12="oui",(IF(DATEDIF($F$7,C$21,"Y")&lt;18,0,C26+C28)),"")</f>
        <v/>
      </c>
      <c r="D61" s="297" t="str">
        <f t="shared" ref="D61:H61" si="53">IF($G$12="oui",(IF(DATEDIF($F$7,D$21,"Y")&lt;18,0,D26+D28)),"")</f>
        <v/>
      </c>
      <c r="E61" s="297" t="str">
        <f t="shared" si="53"/>
        <v/>
      </c>
      <c r="F61" s="297" t="str">
        <f t="shared" si="53"/>
        <v/>
      </c>
      <c r="G61" s="297" t="str">
        <f t="shared" si="53"/>
        <v/>
      </c>
      <c r="H61" s="298" t="str">
        <f t="shared" si="53"/>
        <v/>
      </c>
      <c r="I61" s="324" t="str">
        <f t="shared" si="51"/>
        <v/>
      </c>
      <c r="J61" s="283" t="str">
        <f>B61</f>
        <v xml:space="preserve"> </v>
      </c>
      <c r="K61" s="297" t="str">
        <f>IF($G$12="oui",(IF(DATEDIF($F$7,K$21,"Y")&lt;18,0,K26+K28)),"")</f>
        <v/>
      </c>
      <c r="L61" s="297" t="str">
        <f t="shared" ref="L61:P61" si="54">IF($G$12="oui",(IF(DATEDIF($F$7,L$21,"Y")&lt;18,0,L26+L28)),"")</f>
        <v/>
      </c>
      <c r="M61" s="297" t="str">
        <f t="shared" si="54"/>
        <v/>
      </c>
      <c r="N61" s="297" t="str">
        <f t="shared" si="54"/>
        <v/>
      </c>
      <c r="O61" s="297" t="str">
        <f t="shared" si="54"/>
        <v/>
      </c>
      <c r="P61" s="298" t="str">
        <f t="shared" si="54"/>
        <v/>
      </c>
      <c r="Q61" s="402" t="str">
        <f>IF($G$12="Oui",SUM(C61:H61)+SUM(K61:P61),"")</f>
        <v/>
      </c>
      <c r="R61" s="57"/>
      <c r="S61" s="62"/>
      <c r="T61" s="62"/>
      <c r="U61" s="62"/>
      <c r="V61" s="57"/>
      <c r="W61" s="102"/>
      <c r="X61" s="63"/>
      <c r="Y61" s="64"/>
      <c r="Z61" s="64"/>
      <c r="AA61" s="64"/>
      <c r="AB61" s="64"/>
      <c r="AC61" s="64"/>
      <c r="AD61" s="59"/>
      <c r="AE61" s="59"/>
    </row>
    <row r="62" spans="1:31" s="2" customFormat="1" ht="15" customHeight="1" x14ac:dyDescent="0.25">
      <c r="A62" s="324" t="str">
        <f>IF(G12="oui","B) Nb. d'heures quali B","")</f>
        <v/>
      </c>
      <c r="B62" s="284" t="str">
        <f>IF(G12="oui","h"," ")</f>
        <v xml:space="preserve"> </v>
      </c>
      <c r="C62" s="297"/>
      <c r="D62" s="297"/>
      <c r="E62" s="297"/>
      <c r="F62" s="297"/>
      <c r="G62" s="297"/>
      <c r="H62" s="298"/>
      <c r="I62" s="324" t="str">
        <f t="shared" si="51"/>
        <v/>
      </c>
      <c r="J62" s="284" t="str">
        <f>B62</f>
        <v xml:space="preserve"> </v>
      </c>
      <c r="K62" s="297"/>
      <c r="L62" s="297"/>
      <c r="M62" s="297"/>
      <c r="N62" s="297"/>
      <c r="O62" s="297"/>
      <c r="P62" s="298"/>
      <c r="Q62" s="228" t="str">
        <f>IF($G$12="Oui",SUM(C62:H62)+SUM(K62:P62),"")</f>
        <v/>
      </c>
      <c r="R62" s="57"/>
      <c r="S62" s="57"/>
      <c r="T62" s="57"/>
      <c r="U62" s="57"/>
      <c r="V62" s="57"/>
      <c r="W62" s="101"/>
      <c r="X62" s="58"/>
      <c r="Y62" s="58"/>
      <c r="Z62" s="58"/>
      <c r="AA62" s="58"/>
      <c r="AB62" s="58"/>
      <c r="AC62" s="58"/>
      <c r="AD62" s="58"/>
      <c r="AE62" s="58"/>
    </row>
    <row r="63" spans="1:31" s="2" customFormat="1" ht="15" customHeight="1" x14ac:dyDescent="0.25">
      <c r="A63" s="445" t="str">
        <f>IF($G$12="oui","C) Nb. d'engagements 
de nuit","")</f>
        <v/>
      </c>
      <c r="B63" s="448" t="str">
        <f>IF(G12="oui","Nb."," ")</f>
        <v xml:space="preserve"> </v>
      </c>
      <c r="C63" s="376" t="str">
        <f>IF($G$12="Oui",(IF(DATEDIF($F$7,C$21,"Y")&lt;18,0,C25)),"")</f>
        <v/>
      </c>
      <c r="D63" s="376" t="str">
        <f t="shared" ref="D63:H63" si="55">IF($G$12="Oui",(IF(DATEDIF($F$7,D$21,"Y")&lt;18,0,D25)),"")</f>
        <v/>
      </c>
      <c r="E63" s="376" t="str">
        <f t="shared" si="55"/>
        <v/>
      </c>
      <c r="F63" s="376" t="str">
        <f t="shared" si="55"/>
        <v/>
      </c>
      <c r="G63" s="376" t="str">
        <f t="shared" si="55"/>
        <v/>
      </c>
      <c r="H63" s="377" t="str">
        <f t="shared" si="55"/>
        <v/>
      </c>
      <c r="I63" s="324" t="str">
        <f t="shared" si="51"/>
        <v/>
      </c>
      <c r="J63" s="284" t="str">
        <f>B63</f>
        <v xml:space="preserve"> </v>
      </c>
      <c r="K63" s="376" t="str">
        <f>IF($G$12="Oui",(IF(DATEDIF($F$7,K$21,"Y")&lt;18,0,K25)),"")</f>
        <v/>
      </c>
      <c r="L63" s="376" t="str">
        <f t="shared" ref="L63:P63" si="56">IF($G$12="Oui",(IF(DATEDIF($F$7,L$21,"Y")&lt;18,0,L25)),"")</f>
        <v/>
      </c>
      <c r="M63" s="376" t="str">
        <f t="shared" si="56"/>
        <v/>
      </c>
      <c r="N63" s="376" t="str">
        <f t="shared" si="56"/>
        <v/>
      </c>
      <c r="O63" s="376" t="str">
        <f t="shared" si="56"/>
        <v/>
      </c>
      <c r="P63" s="377" t="str">
        <f t="shared" si="56"/>
        <v/>
      </c>
      <c r="Q63" s="228" t="str">
        <f>IF($G$12="Oui",SUM(C63:H63)+SUM(K63:P63),"")</f>
        <v/>
      </c>
      <c r="R63" s="57"/>
      <c r="S63" s="57"/>
      <c r="T63" s="57"/>
      <c r="U63" s="57"/>
      <c r="V63" s="57"/>
      <c r="W63" s="101"/>
      <c r="X63" s="58"/>
      <c r="Y63" s="58"/>
      <c r="Z63" s="58"/>
      <c r="AA63" s="58"/>
      <c r="AB63" s="58"/>
      <c r="AC63" s="58"/>
      <c r="AD63" s="58"/>
      <c r="AE63" s="58"/>
    </row>
    <row r="64" spans="1:31" s="2" customFormat="1" ht="15" customHeight="1" thickBot="1" x14ac:dyDescent="0.3">
      <c r="A64" s="446" t="str">
        <f>IF(G12="oui","Oblig. de verser le salaire","")</f>
        <v/>
      </c>
      <c r="B64" s="449"/>
      <c r="C64" s="299" t="str">
        <f>IF($G$12="Oui",(IF(DATEDIF($F$7,C$21,"Y")&lt;18,0,(IF(OR(C32&gt;0.1,C33&gt;0.1),"décompter","")))),"")</f>
        <v/>
      </c>
      <c r="D64" s="299" t="str">
        <f t="shared" ref="D64:H64" si="57">IF($G$12="Oui",(IF(DATEDIF($F$7,D$21,"Y")&lt;18,0,(IF(OR(D32&gt;0.1,D33&gt;0.1),"décompter","")))),"")</f>
        <v/>
      </c>
      <c r="E64" s="299" t="str">
        <f t="shared" si="57"/>
        <v/>
      </c>
      <c r="F64" s="299" t="str">
        <f t="shared" si="57"/>
        <v/>
      </c>
      <c r="G64" s="299" t="str">
        <f t="shared" si="57"/>
        <v/>
      </c>
      <c r="H64" s="300" t="str">
        <f t="shared" si="57"/>
        <v/>
      </c>
      <c r="I64" s="325" t="str">
        <f t="shared" si="51"/>
        <v/>
      </c>
      <c r="J64" s="285">
        <f>B64</f>
        <v>0</v>
      </c>
      <c r="K64" s="299" t="str">
        <f>IF($G$12="Oui",(IF(DATEDIF($F$7,K$21,"Y")&lt;18,0,(IF(OR(K32&gt;0.1,K33&gt;0.1),"décompter","")))),"")</f>
        <v/>
      </c>
      <c r="L64" s="299" t="str">
        <f t="shared" ref="L64:P64" si="58">IF($G$12="Oui",(IF(DATEDIF($F$7,L$21,"Y")&lt;18,0,(IF(OR(L32&gt;0.1,L33&gt;0.1),"décompter","")))),"")</f>
        <v/>
      </c>
      <c r="M64" s="299" t="str">
        <f t="shared" si="58"/>
        <v/>
      </c>
      <c r="N64" s="299" t="str">
        <f t="shared" si="58"/>
        <v/>
      </c>
      <c r="O64" s="299" t="str">
        <f t="shared" si="58"/>
        <v/>
      </c>
      <c r="P64" s="300" t="str">
        <f t="shared" si="58"/>
        <v/>
      </c>
      <c r="Q64" s="231" t="str">
        <f>IF($G$12="oui",SUM(C64:H64)+SUM(K64:P64),"")</f>
        <v/>
      </c>
      <c r="R64" s="57"/>
      <c r="S64" s="57"/>
      <c r="T64" s="57"/>
      <c r="U64" s="57"/>
      <c r="V64" s="57"/>
      <c r="W64" s="101"/>
      <c r="X64" s="58"/>
      <c r="Y64" s="58"/>
      <c r="Z64" s="58"/>
      <c r="AA64" s="58"/>
      <c r="AB64" s="58"/>
      <c r="AC64" s="58"/>
      <c r="AD64" s="58"/>
      <c r="AE64" s="58"/>
    </row>
    <row r="65" spans="1:31" s="6" customFormat="1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2"/>
      <c r="K65" s="1"/>
      <c r="L65" s="1"/>
      <c r="M65" s="1"/>
      <c r="N65" s="1"/>
      <c r="O65" s="1"/>
      <c r="P65" s="1"/>
      <c r="Q65" s="1"/>
      <c r="R65" s="62"/>
      <c r="S65" s="1"/>
      <c r="T65" s="1"/>
      <c r="U65" s="1"/>
      <c r="V65" s="62"/>
      <c r="W65" s="101"/>
      <c r="X65" s="58"/>
      <c r="Y65" s="58"/>
      <c r="Z65" s="58"/>
      <c r="AA65" s="58"/>
      <c r="AB65" s="58"/>
      <c r="AC65" s="58"/>
      <c r="AD65" s="63"/>
      <c r="AE65" s="63"/>
    </row>
    <row r="66" spans="1:31" s="415" customFormat="1" ht="15" customHeight="1" x14ac:dyDescent="0.25">
      <c r="A66" s="1"/>
      <c r="B66" s="1"/>
      <c r="C66" s="412"/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2"/>
      <c r="P66" s="412"/>
      <c r="Q66" s="412"/>
      <c r="R66" s="413"/>
      <c r="S66" s="412"/>
      <c r="T66" s="412"/>
      <c r="U66" s="412"/>
      <c r="V66" s="413"/>
      <c r="W66" s="429"/>
      <c r="X66" s="414"/>
      <c r="Y66" s="414"/>
      <c r="Z66" s="414"/>
      <c r="AA66" s="414"/>
      <c r="AB66" s="414"/>
      <c r="AC66" s="414"/>
      <c r="AD66" s="414"/>
      <c r="AE66" s="414"/>
    </row>
    <row r="67" spans="1:31" s="412" customFormat="1" ht="15" hidden="1" customHeight="1" x14ac:dyDescent="0.2">
      <c r="A67" s="412" t="s">
        <v>155</v>
      </c>
      <c r="C67" s="424" t="str">
        <f>IF(AND($C$14&lt;=EOMONTH(C$21,0),OR($C$15&gt;=C$21,$C$15=""),$F$17&lt;=C$21),"oui","no")</f>
        <v>no</v>
      </c>
      <c r="D67" s="424" t="str">
        <f t="shared" ref="D67:H67" si="59">IF(AND($C$14&lt;=EOMONTH(D$21,0),OR($C$15&gt;=D$21,$C$15=""),$F$17&lt;=D$21),"oui","no")</f>
        <v>no</v>
      </c>
      <c r="E67" s="424" t="str">
        <f t="shared" si="59"/>
        <v>no</v>
      </c>
      <c r="F67" s="424" t="str">
        <f t="shared" si="59"/>
        <v>no</v>
      </c>
      <c r="G67" s="424" t="str">
        <f t="shared" si="59"/>
        <v>no</v>
      </c>
      <c r="H67" s="424" t="str">
        <f t="shared" si="59"/>
        <v>no</v>
      </c>
      <c r="I67" s="424"/>
      <c r="J67" s="424"/>
      <c r="K67" s="424" t="str">
        <f>IF(AND($C$14&lt;=EOMONTH(K$21,0),OR($C$15&gt;=K$21,$C$15=""),$F$17&lt;=K$21),"oui","no")</f>
        <v>no</v>
      </c>
      <c r="L67" s="424" t="str">
        <f t="shared" ref="L67:P67" si="60">IF(AND($C$14&lt;=EOMONTH(L$21,0),OR($C$15&gt;=L$21,$C$15=""),$F$17&lt;=L$21),"oui","no")</f>
        <v>no</v>
      </c>
      <c r="M67" s="424" t="str">
        <f t="shared" si="60"/>
        <v>no</v>
      </c>
      <c r="N67" s="424" t="str">
        <f t="shared" si="60"/>
        <v>no</v>
      </c>
      <c r="O67" s="424" t="str">
        <f t="shared" si="60"/>
        <v>no</v>
      </c>
      <c r="P67" s="424" t="str">
        <f t="shared" si="60"/>
        <v>no</v>
      </c>
      <c r="X67" s="416"/>
      <c r="Y67" s="416"/>
      <c r="Z67" s="416"/>
      <c r="AA67" s="416"/>
      <c r="AB67" s="416"/>
      <c r="AC67" s="416"/>
      <c r="AD67" s="416"/>
      <c r="AE67" s="416"/>
    </row>
    <row r="68" spans="1:31" s="412" customFormat="1" ht="10" hidden="1" x14ac:dyDescent="0.2">
      <c r="X68" s="416"/>
      <c r="Y68" s="416"/>
      <c r="Z68" s="416"/>
      <c r="AA68" s="416"/>
      <c r="AB68" s="416"/>
      <c r="AC68" s="416"/>
      <c r="AD68" s="416"/>
      <c r="AE68" s="416"/>
    </row>
    <row r="69" spans="1:31" s="412" customFormat="1" ht="10.5" hidden="1" x14ac:dyDescent="0.25">
      <c r="A69" s="417"/>
      <c r="C69" s="418">
        <f>C$21</f>
        <v>46023</v>
      </c>
      <c r="D69" s="418">
        <f t="shared" ref="D69:H69" si="61">D$21</f>
        <v>46054</v>
      </c>
      <c r="E69" s="418">
        <f t="shared" si="61"/>
        <v>46082</v>
      </c>
      <c r="F69" s="418">
        <f t="shared" si="61"/>
        <v>46113</v>
      </c>
      <c r="G69" s="418">
        <f t="shared" si="61"/>
        <v>46143</v>
      </c>
      <c r="H69" s="418">
        <f t="shared" si="61"/>
        <v>46174</v>
      </c>
      <c r="K69" s="418">
        <f>K$21</f>
        <v>46204</v>
      </c>
      <c r="L69" s="418">
        <f t="shared" ref="L69:P69" si="62">L$21</f>
        <v>46235</v>
      </c>
      <c r="M69" s="418">
        <f t="shared" si="62"/>
        <v>46266</v>
      </c>
      <c r="N69" s="418">
        <f t="shared" si="62"/>
        <v>46296</v>
      </c>
      <c r="O69" s="418">
        <f t="shared" si="62"/>
        <v>46327</v>
      </c>
      <c r="P69" s="418">
        <f t="shared" si="62"/>
        <v>46357</v>
      </c>
      <c r="X69" s="416"/>
      <c r="Y69" s="416"/>
      <c r="Z69" s="416"/>
      <c r="AA69" s="416"/>
      <c r="AB69" s="416"/>
      <c r="AC69" s="416"/>
      <c r="AD69" s="416"/>
      <c r="AE69" s="416"/>
    </row>
    <row r="70" spans="1:31" s="412" customFormat="1" ht="10.5" hidden="1" x14ac:dyDescent="0.25">
      <c r="A70" s="419" t="s">
        <v>156</v>
      </c>
      <c r="C70" s="419">
        <f t="shared" ref="C70:H70" si="63">IF($C$16="Salaire horaire",SUM(C$27,C$29,C$30,C$31,C$32,C$33,C$34),SUM(C$22,C$23,C$30,C$31,C$32,C$33,C$34))</f>
        <v>0</v>
      </c>
      <c r="D70" s="419">
        <f t="shared" si="63"/>
        <v>0</v>
      </c>
      <c r="E70" s="419">
        <f t="shared" si="63"/>
        <v>0</v>
      </c>
      <c r="F70" s="419">
        <f t="shared" si="63"/>
        <v>0</v>
      </c>
      <c r="G70" s="419">
        <f t="shared" si="63"/>
        <v>0</v>
      </c>
      <c r="H70" s="419">
        <f t="shared" si="63"/>
        <v>0</v>
      </c>
      <c r="K70" s="419">
        <f t="shared" ref="K70:P70" si="64">IF($C$16="Salaire horaire",SUM(K$27,K$29,K$30,K$31,K$32,K$33,K$34),SUM(K$22,K$23,K$30,K$31,K$32,K$33,K$34))</f>
        <v>0</v>
      </c>
      <c r="L70" s="419">
        <f t="shared" si="64"/>
        <v>0</v>
      </c>
      <c r="M70" s="419">
        <f t="shared" si="64"/>
        <v>0</v>
      </c>
      <c r="N70" s="419">
        <f t="shared" si="64"/>
        <v>0</v>
      </c>
      <c r="O70" s="419">
        <f t="shared" si="64"/>
        <v>0</v>
      </c>
      <c r="P70" s="419">
        <f t="shared" si="64"/>
        <v>0</v>
      </c>
      <c r="X70" s="416"/>
      <c r="Y70" s="416"/>
      <c r="Z70" s="416"/>
      <c r="AA70" s="416"/>
      <c r="AB70" s="416"/>
      <c r="AC70" s="416"/>
      <c r="AD70" s="416"/>
      <c r="AE70" s="416"/>
    </row>
    <row r="71" spans="1:31" s="412" customFormat="1" ht="10.5" hidden="1" x14ac:dyDescent="0.25">
      <c r="A71" s="419" t="s">
        <v>157</v>
      </c>
      <c r="C71" s="419">
        <f>IF(C$73=0,0,C$70)</f>
        <v>0</v>
      </c>
      <c r="D71" s="419">
        <f>IF(D$73=0,0,D$70+C$71)</f>
        <v>0</v>
      </c>
      <c r="E71" s="419">
        <f t="shared" ref="E71:G71" si="65">IF(E$73=0,0,E$70+D$71)</f>
        <v>0</v>
      </c>
      <c r="F71" s="419">
        <f t="shared" si="65"/>
        <v>0</v>
      </c>
      <c r="G71" s="419">
        <f t="shared" si="65"/>
        <v>0</v>
      </c>
      <c r="H71" s="419">
        <f>IF(H$73=0,0,H$70+G$71)</f>
        <v>0</v>
      </c>
      <c r="K71" s="419">
        <f>IF(K$73=0,0,K$70+H$71)</f>
        <v>0</v>
      </c>
      <c r="L71" s="419">
        <f>IF(L$73=0,0,L$70+K$71)</f>
        <v>0</v>
      </c>
      <c r="M71" s="419">
        <f t="shared" ref="M71:P71" si="66">IF(M$73=0,0,M$70+L$71)</f>
        <v>0</v>
      </c>
      <c r="N71" s="419">
        <f t="shared" si="66"/>
        <v>0</v>
      </c>
      <c r="O71" s="419">
        <f t="shared" si="66"/>
        <v>0</v>
      </c>
      <c r="P71" s="419">
        <f t="shared" si="66"/>
        <v>0</v>
      </c>
      <c r="X71" s="416"/>
      <c r="Y71" s="416"/>
      <c r="Z71" s="416"/>
      <c r="AA71" s="416"/>
      <c r="AB71" s="416"/>
      <c r="AC71" s="416"/>
      <c r="AD71" s="416"/>
      <c r="AE71" s="416"/>
    </row>
    <row r="72" spans="1:31" s="412" customFormat="1" ht="10.5" hidden="1" x14ac:dyDescent="0.25">
      <c r="A72" s="419"/>
      <c r="C72" s="419"/>
      <c r="D72" s="419"/>
      <c r="E72" s="419"/>
      <c r="F72" s="419"/>
      <c r="G72" s="419"/>
      <c r="H72" s="419"/>
      <c r="K72" s="419"/>
      <c r="L72" s="419"/>
      <c r="M72" s="419"/>
      <c r="N72" s="419"/>
      <c r="O72" s="419"/>
      <c r="P72" s="419"/>
      <c r="X72" s="416"/>
      <c r="Y72" s="416"/>
      <c r="Z72" s="416"/>
      <c r="AA72" s="416"/>
      <c r="AB72" s="416"/>
      <c r="AC72" s="416"/>
      <c r="AD72" s="416"/>
      <c r="AE72" s="416"/>
    </row>
    <row r="73" spans="1:31" s="412" customFormat="1" ht="10.5" hidden="1" x14ac:dyDescent="0.25">
      <c r="A73" s="419" t="s">
        <v>6</v>
      </c>
      <c r="C73" s="419">
        <f>IF(C$67="oui",Grundlagen!$B$7,0)</f>
        <v>0</v>
      </c>
      <c r="D73" s="419">
        <f>IF(D$67="oui",Grundlagen!$B$7,0)</f>
        <v>0</v>
      </c>
      <c r="E73" s="419">
        <f>IF(E$67="oui",Grundlagen!$B$7,0)</f>
        <v>0</v>
      </c>
      <c r="F73" s="419">
        <f>IF(F$67="oui",Grundlagen!$B$7,0)</f>
        <v>0</v>
      </c>
      <c r="G73" s="419">
        <f>IF(G$67="oui",Grundlagen!$B$7,0)</f>
        <v>0</v>
      </c>
      <c r="H73" s="419">
        <f>IF(H$67="oui",Grundlagen!$B$7,0)</f>
        <v>0</v>
      </c>
      <c r="K73" s="419">
        <f>IF(K$67="oui",Grundlagen!$B$7,0)</f>
        <v>0</v>
      </c>
      <c r="L73" s="419">
        <f>IF(L$67="oui",Grundlagen!$B$7,0)</f>
        <v>0</v>
      </c>
      <c r="M73" s="419">
        <f>IF(M$67="oui",Grundlagen!$B$7,0)</f>
        <v>0</v>
      </c>
      <c r="N73" s="419">
        <f>IF(N$67="oui",Grundlagen!$B$7,0)</f>
        <v>0</v>
      </c>
      <c r="O73" s="419">
        <f>IF(O$67="oui",Grundlagen!$B$7,0)</f>
        <v>0</v>
      </c>
      <c r="P73" s="419">
        <f>IF(P$67="oui",Grundlagen!$B$7,0)</f>
        <v>0</v>
      </c>
      <c r="X73" s="416"/>
      <c r="Y73" s="416"/>
      <c r="Z73" s="416"/>
      <c r="AA73" s="416"/>
      <c r="AB73" s="416"/>
      <c r="AC73" s="416"/>
      <c r="AD73" s="416"/>
      <c r="AE73" s="416"/>
    </row>
    <row r="74" spans="1:31" s="412" customFormat="1" ht="10.5" hidden="1" x14ac:dyDescent="0.25">
      <c r="A74" s="419" t="s">
        <v>158</v>
      </c>
      <c r="C74" s="419">
        <f>C$73</f>
        <v>0</v>
      </c>
      <c r="D74" s="419">
        <f>C$74+D$73</f>
        <v>0</v>
      </c>
      <c r="E74" s="419">
        <f t="shared" ref="E74:H74" si="67">D$74+E$73</f>
        <v>0</v>
      </c>
      <c r="F74" s="419">
        <f t="shared" si="67"/>
        <v>0</v>
      </c>
      <c r="G74" s="419">
        <f t="shared" si="67"/>
        <v>0</v>
      </c>
      <c r="H74" s="419">
        <f t="shared" si="67"/>
        <v>0</v>
      </c>
      <c r="K74" s="419">
        <f>H$74+K$73</f>
        <v>0</v>
      </c>
      <c r="L74" s="419">
        <f>K$74+L$73</f>
        <v>0</v>
      </c>
      <c r="M74" s="419">
        <f t="shared" ref="M74:P74" si="68">L$74+M$73</f>
        <v>0</v>
      </c>
      <c r="N74" s="419">
        <f t="shared" si="68"/>
        <v>0</v>
      </c>
      <c r="O74" s="419">
        <f t="shared" si="68"/>
        <v>0</v>
      </c>
      <c r="P74" s="419">
        <f t="shared" si="68"/>
        <v>0</v>
      </c>
      <c r="X74" s="416"/>
      <c r="Y74" s="416"/>
      <c r="Z74" s="416"/>
      <c r="AA74" s="416"/>
      <c r="AB74" s="416"/>
      <c r="AC74" s="416"/>
      <c r="AD74" s="416"/>
      <c r="AE74" s="416"/>
    </row>
    <row r="75" spans="1:31" s="412" customFormat="1" ht="10.5" hidden="1" x14ac:dyDescent="0.25">
      <c r="A75" s="419"/>
      <c r="C75" s="419"/>
      <c r="D75" s="419"/>
      <c r="E75" s="419"/>
      <c r="F75" s="419"/>
      <c r="G75" s="419"/>
      <c r="H75" s="419"/>
      <c r="K75" s="419"/>
      <c r="L75" s="419"/>
      <c r="M75" s="419"/>
      <c r="N75" s="419"/>
      <c r="O75" s="419"/>
      <c r="P75" s="419"/>
      <c r="X75" s="416"/>
      <c r="Y75" s="416"/>
      <c r="Z75" s="416"/>
      <c r="AA75" s="416"/>
      <c r="AB75" s="416"/>
      <c r="AC75" s="416"/>
      <c r="AD75" s="416"/>
      <c r="AE75" s="416"/>
    </row>
    <row r="76" spans="1:31" s="412" customFormat="1" ht="10.5" hidden="1" x14ac:dyDescent="0.25">
      <c r="A76" s="419" t="s">
        <v>159</v>
      </c>
      <c r="C76" s="419">
        <f>IF(C$71&gt;C$74,C$71-C$74,0)</f>
        <v>0</v>
      </c>
      <c r="D76" s="419">
        <f t="shared" ref="D76:H76" si="69">IF(D$71&gt;D$74,D$71-D$74,0)</f>
        <v>0</v>
      </c>
      <c r="E76" s="419">
        <f t="shared" si="69"/>
        <v>0</v>
      </c>
      <c r="F76" s="419">
        <f t="shared" si="69"/>
        <v>0</v>
      </c>
      <c r="G76" s="419">
        <f t="shared" si="69"/>
        <v>0</v>
      </c>
      <c r="H76" s="419">
        <f t="shared" si="69"/>
        <v>0</v>
      </c>
      <c r="K76" s="419">
        <f>IF(K$71&gt;K$74,K$71-K$74,0)</f>
        <v>0</v>
      </c>
      <c r="L76" s="419">
        <f t="shared" ref="L76:P76" si="70">IF(L$71&gt;L$74,L$71-L$74,0)</f>
        <v>0</v>
      </c>
      <c r="M76" s="419">
        <f t="shared" si="70"/>
        <v>0</v>
      </c>
      <c r="N76" s="419">
        <f t="shared" si="70"/>
        <v>0</v>
      </c>
      <c r="O76" s="419">
        <f t="shared" si="70"/>
        <v>0</v>
      </c>
      <c r="P76" s="419">
        <f t="shared" si="70"/>
        <v>0</v>
      </c>
      <c r="X76" s="416"/>
      <c r="Y76" s="416"/>
      <c r="Z76" s="416"/>
      <c r="AA76" s="416"/>
      <c r="AB76" s="416"/>
      <c r="AC76" s="416"/>
      <c r="AD76" s="416"/>
      <c r="AE76" s="416"/>
    </row>
    <row r="77" spans="1:31" s="412" customFormat="1" ht="10.5" hidden="1" x14ac:dyDescent="0.25">
      <c r="A77" s="419" t="s">
        <v>160</v>
      </c>
      <c r="C77" s="419">
        <f>C$79</f>
        <v>0</v>
      </c>
      <c r="D77" s="419">
        <f>C$77+D$79</f>
        <v>0</v>
      </c>
      <c r="E77" s="419">
        <f t="shared" ref="E77:H77" si="71">D$77+E$79</f>
        <v>0</v>
      </c>
      <c r="F77" s="419">
        <f t="shared" si="71"/>
        <v>0</v>
      </c>
      <c r="G77" s="419">
        <f t="shared" si="71"/>
        <v>0</v>
      </c>
      <c r="H77" s="419">
        <f t="shared" si="71"/>
        <v>0</v>
      </c>
      <c r="K77" s="419">
        <f>H$77+K$79</f>
        <v>0</v>
      </c>
      <c r="L77" s="419">
        <f>K$77+L$79</f>
        <v>0</v>
      </c>
      <c r="M77" s="419">
        <f t="shared" ref="M77:P77" si="72">L$77+M$79</f>
        <v>0</v>
      </c>
      <c r="N77" s="419">
        <f t="shared" si="72"/>
        <v>0</v>
      </c>
      <c r="O77" s="419">
        <f t="shared" si="72"/>
        <v>0</v>
      </c>
      <c r="P77" s="419">
        <f t="shared" si="72"/>
        <v>0</v>
      </c>
      <c r="X77" s="416"/>
      <c r="Y77" s="416"/>
      <c r="Z77" s="416"/>
      <c r="AA77" s="416"/>
      <c r="AB77" s="416"/>
      <c r="AC77" s="416"/>
      <c r="AD77" s="416"/>
      <c r="AE77" s="416"/>
    </row>
    <row r="78" spans="1:31" s="412" customFormat="1" ht="10.5" hidden="1" x14ac:dyDescent="0.25">
      <c r="A78" s="419"/>
      <c r="C78" s="419"/>
      <c r="D78" s="419"/>
      <c r="E78" s="419"/>
      <c r="F78" s="419"/>
      <c r="G78" s="419"/>
      <c r="H78" s="419"/>
      <c r="K78" s="419"/>
      <c r="L78" s="419"/>
      <c r="M78" s="419"/>
      <c r="N78" s="419"/>
      <c r="O78" s="419"/>
      <c r="P78" s="419"/>
      <c r="X78" s="416"/>
      <c r="Y78" s="416"/>
      <c r="Z78" s="416"/>
      <c r="AA78" s="416"/>
      <c r="AB78" s="416"/>
      <c r="AC78" s="416"/>
      <c r="AD78" s="416"/>
      <c r="AE78" s="416"/>
    </row>
    <row r="79" spans="1:31" s="412" customFormat="1" ht="10.5" hidden="1" x14ac:dyDescent="0.25">
      <c r="A79" s="420" t="s">
        <v>161</v>
      </c>
      <c r="C79" s="419">
        <f>IF(C$70=0,0,C$76)</f>
        <v>0</v>
      </c>
      <c r="D79" s="420">
        <f>IF(D$70=0,0,D$76-C$77)</f>
        <v>0</v>
      </c>
      <c r="E79" s="420">
        <f t="shared" ref="E79:H79" si="73">IF(E$70=0,0,E$76-D$77)</f>
        <v>0</v>
      </c>
      <c r="F79" s="420">
        <f t="shared" si="73"/>
        <v>0</v>
      </c>
      <c r="G79" s="420">
        <f t="shared" si="73"/>
        <v>0</v>
      </c>
      <c r="H79" s="420">
        <f t="shared" si="73"/>
        <v>0</v>
      </c>
      <c r="K79" s="420">
        <f>IF(K$70=0,0,K$76-H$77)</f>
        <v>0</v>
      </c>
      <c r="L79" s="420">
        <f t="shared" ref="L79:P79" si="74">IF(L$70=0,0,L$76-K$77)</f>
        <v>0</v>
      </c>
      <c r="M79" s="420">
        <f t="shared" si="74"/>
        <v>0</v>
      </c>
      <c r="N79" s="420">
        <f t="shared" si="74"/>
        <v>0</v>
      </c>
      <c r="O79" s="420">
        <f t="shared" si="74"/>
        <v>0</v>
      </c>
      <c r="P79" s="420">
        <f t="shared" si="74"/>
        <v>0</v>
      </c>
      <c r="X79" s="416"/>
      <c r="Y79" s="416"/>
      <c r="Z79" s="416"/>
      <c r="AA79" s="416"/>
      <c r="AB79" s="416"/>
      <c r="AC79" s="416"/>
      <c r="AD79" s="416"/>
      <c r="AE79" s="416"/>
    </row>
    <row r="80" spans="1:31" s="412" customFormat="1" ht="10.5" hidden="1" x14ac:dyDescent="0.25">
      <c r="A80" s="421" t="s">
        <v>6</v>
      </c>
      <c r="C80" s="421">
        <f>ROUND((IF(C$73=0,0,C$79-C$70)*-1)/5,2)*5</f>
        <v>0</v>
      </c>
      <c r="D80" s="421">
        <f>ROUND((IF(D$73=0,0,D$79-D$70)*-1)/5,2)*5</f>
        <v>0</v>
      </c>
      <c r="E80" s="421">
        <f t="shared" ref="E80:H80" si="75">ROUND((IF(E$73=0,0,E$79-E$70)*-1)/5,2)*5</f>
        <v>0</v>
      </c>
      <c r="F80" s="421">
        <f t="shared" si="75"/>
        <v>0</v>
      </c>
      <c r="G80" s="421">
        <f t="shared" si="75"/>
        <v>0</v>
      </c>
      <c r="H80" s="421">
        <f t="shared" si="75"/>
        <v>0</v>
      </c>
      <c r="K80" s="421">
        <f t="shared" ref="K80:P80" si="76">ROUND((IF(K$73=0,0,K$79-K$70)*-1)/5,2)*5</f>
        <v>0</v>
      </c>
      <c r="L80" s="421">
        <f t="shared" si="76"/>
        <v>0</v>
      </c>
      <c r="M80" s="421">
        <f t="shared" si="76"/>
        <v>0</v>
      </c>
      <c r="N80" s="421">
        <f t="shared" si="76"/>
        <v>0</v>
      </c>
      <c r="O80" s="421">
        <f t="shared" si="76"/>
        <v>0</v>
      </c>
      <c r="P80" s="421">
        <f t="shared" si="76"/>
        <v>0</v>
      </c>
      <c r="X80" s="416"/>
      <c r="Y80" s="416"/>
      <c r="Z80" s="416"/>
      <c r="AA80" s="416"/>
      <c r="AB80" s="416"/>
      <c r="AC80" s="416"/>
      <c r="AD80" s="416"/>
      <c r="AE80" s="416"/>
    </row>
    <row r="81" spans="1:31" s="412" customFormat="1" ht="10.5" hidden="1" x14ac:dyDescent="0.25">
      <c r="A81" s="420" t="s">
        <v>162</v>
      </c>
      <c r="C81" s="419">
        <f t="shared" ref="C81:H81" si="77">IF(C$67="oui",0,C$39)</f>
        <v>0</v>
      </c>
      <c r="D81" s="419">
        <f t="shared" si="77"/>
        <v>0</v>
      </c>
      <c r="E81" s="419">
        <f t="shared" si="77"/>
        <v>0</v>
      </c>
      <c r="F81" s="419">
        <f t="shared" si="77"/>
        <v>0</v>
      </c>
      <c r="G81" s="419">
        <f t="shared" si="77"/>
        <v>0</v>
      </c>
      <c r="H81" s="419">
        <f t="shared" si="77"/>
        <v>0</v>
      </c>
      <c r="K81" s="419">
        <f t="shared" ref="K81:P81" si="78">IF(K$67="oui",0,K$39)</f>
        <v>0</v>
      </c>
      <c r="L81" s="419">
        <f t="shared" si="78"/>
        <v>0</v>
      </c>
      <c r="M81" s="419">
        <f t="shared" si="78"/>
        <v>0</v>
      </c>
      <c r="N81" s="419">
        <f t="shared" si="78"/>
        <v>0</v>
      </c>
      <c r="O81" s="419">
        <f t="shared" si="78"/>
        <v>0</v>
      </c>
      <c r="P81" s="419">
        <f t="shared" si="78"/>
        <v>0</v>
      </c>
      <c r="Q81" s="430">
        <f>SUM(C81:P81)</f>
        <v>0</v>
      </c>
      <c r="X81" s="416"/>
      <c r="Y81" s="416"/>
      <c r="Z81" s="416"/>
      <c r="AA81" s="416"/>
      <c r="AB81" s="416"/>
      <c r="AC81" s="416"/>
      <c r="AD81" s="416"/>
      <c r="AE81" s="416"/>
    </row>
    <row r="82" spans="1:31" s="412" customFormat="1" ht="10" x14ac:dyDescent="0.2">
      <c r="X82" s="416"/>
      <c r="Y82" s="416"/>
      <c r="Z82" s="416"/>
      <c r="AA82" s="416"/>
      <c r="AB82" s="416"/>
      <c r="AC82" s="416"/>
      <c r="AD82" s="416"/>
      <c r="AE82" s="416"/>
    </row>
    <row r="83" spans="1:31" s="412" customFormat="1" ht="10" x14ac:dyDescent="0.2">
      <c r="X83" s="416"/>
      <c r="Y83" s="416"/>
      <c r="Z83" s="416"/>
      <c r="AA83" s="416"/>
      <c r="AB83" s="416"/>
      <c r="AC83" s="416"/>
      <c r="AD83" s="416"/>
      <c r="AE83" s="416"/>
    </row>
  </sheetData>
  <sheetProtection algorithmName="SHA-512" hashValue="Ydos+KEFZzljgKNM7qlcnGqUR1aiCwM8UPdvljwdigKXz9T8T5KezI0voJLRSPU3kN9ozLhfBPV9vWx86JkLZA==" saltValue="kKaCJjvNdgjJoSh1UYbIew==" spinCount="100000" sheet="1" objects="1" scenarios="1"/>
  <mergeCells count="48">
    <mergeCell ref="O52:O53"/>
    <mergeCell ref="P52:P53"/>
    <mergeCell ref="S24:U26"/>
    <mergeCell ref="S28:U30"/>
    <mergeCell ref="S31:U32"/>
    <mergeCell ref="S33:U35"/>
    <mergeCell ref="S36:U40"/>
    <mergeCell ref="S41:U43"/>
    <mergeCell ref="AB4:AB5"/>
    <mergeCell ref="AC4:AC5"/>
    <mergeCell ref="AD4:AD5"/>
    <mergeCell ref="AH4:AI5"/>
    <mergeCell ref="C6:D6"/>
    <mergeCell ref="F6:G6"/>
    <mergeCell ref="P1:Q3"/>
    <mergeCell ref="A2:C2"/>
    <mergeCell ref="I2:K2"/>
    <mergeCell ref="Y2:Y5"/>
    <mergeCell ref="AA2:AA5"/>
    <mergeCell ref="S4:T4"/>
    <mergeCell ref="X4:X5"/>
    <mergeCell ref="Z4:Z5"/>
    <mergeCell ref="A1:C1"/>
    <mergeCell ref="D1:F2"/>
    <mergeCell ref="G1:H3"/>
    <mergeCell ref="I1:K1"/>
    <mergeCell ref="L1:N2"/>
    <mergeCell ref="C52:C53"/>
    <mergeCell ref="D52:D53"/>
    <mergeCell ref="E52:E53"/>
    <mergeCell ref="F52:F53"/>
    <mergeCell ref="G52:G53"/>
    <mergeCell ref="H52:H53"/>
    <mergeCell ref="K52:K53"/>
    <mergeCell ref="L52:L53"/>
    <mergeCell ref="M52:M53"/>
    <mergeCell ref="N52:N53"/>
    <mergeCell ref="S18:U18"/>
    <mergeCell ref="S20:U22"/>
    <mergeCell ref="C7:D7"/>
    <mergeCell ref="F7:G7"/>
    <mergeCell ref="F14:G14"/>
    <mergeCell ref="F15:G15"/>
    <mergeCell ref="F16:G16"/>
    <mergeCell ref="C8:D8"/>
    <mergeCell ref="F8:G8"/>
    <mergeCell ref="C9:D9"/>
    <mergeCell ref="F9:G9"/>
  </mergeCells>
  <conditionalFormatting sqref="A25">
    <cfRule type="beginsWith" dxfId="201" priority="34" operator="beginsWith" text="Nom">
      <formula>LEFT(A25,LEN("Nom"))="Nom"</formula>
    </cfRule>
  </conditionalFormatting>
  <conditionalFormatting sqref="A26">
    <cfRule type="containsText" dxfId="200" priority="8" operator="containsText" text="Nombre d'heures">
      <formula>NOT(ISERROR(SEARCH("Nombre d'heures",A26)))</formula>
    </cfRule>
  </conditionalFormatting>
  <conditionalFormatting sqref="A28">
    <cfRule type="containsText" dxfId="199" priority="36" operator="containsText" text="Nombre d'heures II">
      <formula>NOT(ISERROR(SEARCH("Nombre d'heures II",A28)))</formula>
    </cfRule>
  </conditionalFormatting>
  <conditionalFormatting sqref="A24:B24">
    <cfRule type="expression" dxfId="198" priority="33">
      <formula>$G$11="oui"</formula>
    </cfRule>
  </conditionalFormatting>
  <conditionalFormatting sqref="A25:B25">
    <cfRule type="expression" dxfId="197" priority="31">
      <formula>$P$10&gt;0.1</formula>
    </cfRule>
  </conditionalFormatting>
  <conditionalFormatting sqref="A50:B50">
    <cfRule type="expression" dxfId="196" priority="32">
      <formula>$G$11="ja"</formula>
    </cfRule>
  </conditionalFormatting>
  <conditionalFormatting sqref="A60:B64">
    <cfRule type="expression" dxfId="195" priority="27">
      <formula>$G$12="non"</formula>
    </cfRule>
  </conditionalFormatting>
  <conditionalFormatting sqref="B25">
    <cfRule type="beginsWith" dxfId="194" priority="28" operator="beginsWith" text="Nb">
      <formula>LEFT(B25,LEN("Nb"))="Nb"</formula>
    </cfRule>
  </conditionalFormatting>
  <conditionalFormatting sqref="B26">
    <cfRule type="containsText" dxfId="193" priority="7" operator="containsText" text="h">
      <formula>NOT(ISERROR(SEARCH("h",B26)))</formula>
    </cfRule>
  </conditionalFormatting>
  <conditionalFormatting sqref="B28">
    <cfRule type="containsText" dxfId="192" priority="29" operator="containsText" text="h">
      <formula>NOT(ISERROR(SEARCH("h",B28)))</formula>
    </cfRule>
  </conditionalFormatting>
  <conditionalFormatting sqref="C17">
    <cfRule type="expression" dxfId="191" priority="83">
      <formula>$A$17="13ème salaire"</formula>
    </cfRule>
  </conditionalFormatting>
  <conditionalFormatting sqref="C22:H22">
    <cfRule type="cellIs" dxfId="190" priority="20" operator="greaterThan">
      <formula>1</formula>
    </cfRule>
  </conditionalFormatting>
  <conditionalFormatting sqref="C23:H23 K23:P23">
    <cfRule type="expression" dxfId="189" priority="48">
      <formula>$B$23="CHF"</formula>
    </cfRule>
  </conditionalFormatting>
  <conditionalFormatting sqref="C24:H24 K24:P24">
    <cfRule type="expression" dxfId="188" priority="73">
      <formula>$G$11="ja"</formula>
    </cfRule>
  </conditionalFormatting>
  <conditionalFormatting sqref="C25:H25 K25:P25">
    <cfRule type="expression" dxfId="187" priority="59">
      <formula>$B$25="Anz."</formula>
    </cfRule>
  </conditionalFormatting>
  <conditionalFormatting sqref="C26:H26">
    <cfRule type="expression" dxfId="186" priority="10">
      <formula>$G$12="oui"</formula>
    </cfRule>
    <cfRule type="expression" dxfId="185" priority="11">
      <formula>$C$16="Salaire horaire"</formula>
    </cfRule>
  </conditionalFormatting>
  <conditionalFormatting sqref="C28:H28 K28:P28">
    <cfRule type="expression" dxfId="184" priority="74">
      <formula>$G$10="Ja"</formula>
    </cfRule>
  </conditionalFormatting>
  <conditionalFormatting sqref="C50:H50">
    <cfRule type="expression" dxfId="183" priority="66">
      <formula>C51&lt;-0.01</formula>
    </cfRule>
    <cfRule type="expression" dxfId="182" priority="65">
      <formula>C51&gt;0.01</formula>
    </cfRule>
  </conditionalFormatting>
  <conditionalFormatting sqref="C51:H51">
    <cfRule type="cellIs" dxfId="181" priority="70" operator="greaterThan">
      <formula>0.04</formula>
    </cfRule>
    <cfRule type="cellIs" dxfId="180" priority="69" operator="lessThan">
      <formula>-0.04</formula>
    </cfRule>
  </conditionalFormatting>
  <conditionalFormatting sqref="C60:Q63 C64:P64">
    <cfRule type="expression" dxfId="179" priority="62">
      <formula>$G$12="nein"</formula>
    </cfRule>
  </conditionalFormatting>
  <conditionalFormatting sqref="G1">
    <cfRule type="containsText" dxfId="178" priority="117" operator="containsText" text="Achtung Fehler">
      <formula>NOT(ISERROR(SEARCH("Achtung Fehler",G1)))</formula>
    </cfRule>
  </conditionalFormatting>
  <conditionalFormatting sqref="G10">
    <cfRule type="expression" dxfId="177" priority="52">
      <formula>$C$16="Salaire horaire"</formula>
    </cfRule>
  </conditionalFormatting>
  <conditionalFormatting sqref="H17:H18">
    <cfRule type="beginsWith" dxfId="176" priority="44" operator="beginsWith" text="ATT">
      <formula>LEFT(H17,LEN("ATT"))="ATT"</formula>
    </cfRule>
  </conditionalFormatting>
  <conditionalFormatting sqref="I25">
    <cfRule type="beginsWith" dxfId="175" priority="50" operator="beginsWith" text="Nom">
      <formula>LEFT(I25,LEN("Nom"))="Nom"</formula>
    </cfRule>
  </conditionalFormatting>
  <conditionalFormatting sqref="I26">
    <cfRule type="containsText" dxfId="174" priority="13" operator="containsText" text="Nombre d'heures">
      <formula>NOT(ISERROR(SEARCH("Nombre d'heures",I26)))</formula>
    </cfRule>
  </conditionalFormatting>
  <conditionalFormatting sqref="I28">
    <cfRule type="containsText" dxfId="173" priority="58" operator="containsText" text="Nombre d'heures II">
      <formula>NOT(ISERROR(SEARCH("Nombre d'heures II",I28)))</formula>
    </cfRule>
  </conditionalFormatting>
  <conditionalFormatting sqref="I24:J24">
    <cfRule type="expression" dxfId="172" priority="61">
      <formula>$G$11="oui"</formula>
    </cfRule>
  </conditionalFormatting>
  <conditionalFormatting sqref="I25:J25">
    <cfRule type="expression" dxfId="171" priority="51">
      <formula>$P$10&gt;0.1</formula>
    </cfRule>
  </conditionalFormatting>
  <conditionalFormatting sqref="I50:J50">
    <cfRule type="expression" dxfId="170" priority="60">
      <formula>$G$11="ja"</formula>
    </cfRule>
  </conditionalFormatting>
  <conditionalFormatting sqref="J25">
    <cfRule type="beginsWith" dxfId="169" priority="49" operator="beginsWith" text="Anz">
      <formula>LEFT(J25,LEN("Anz"))="Anz"</formula>
    </cfRule>
  </conditionalFormatting>
  <conditionalFormatting sqref="J26">
    <cfRule type="containsText" dxfId="168" priority="12" operator="containsText" text="h">
      <formula>NOT(ISERROR(SEARCH("h",J26)))</formula>
    </cfRule>
  </conditionalFormatting>
  <conditionalFormatting sqref="J28">
    <cfRule type="containsText" dxfId="167" priority="53" operator="containsText" text="Std.">
      <formula>NOT(ISERROR(SEARCH("Std.",J28)))</formula>
    </cfRule>
    <cfRule type="containsText" dxfId="166" priority="54" operator="containsText" text="Std.">
      <formula>NOT(ISERROR(SEARCH("Std.",J28)))</formula>
    </cfRule>
    <cfRule type="containsText" dxfId="165" priority="55" operator="containsText" text="Std.">
      <formula>NOT(ISERROR(SEARCH("Std.",J28)))</formula>
    </cfRule>
  </conditionalFormatting>
  <conditionalFormatting sqref="K22:P22">
    <cfRule type="cellIs" dxfId="164" priority="21" operator="greaterThan">
      <formula>1</formula>
    </cfRule>
  </conditionalFormatting>
  <conditionalFormatting sqref="K26:P26">
    <cfRule type="expression" dxfId="163" priority="14">
      <formula>$G$12="oui"</formula>
    </cfRule>
    <cfRule type="expression" dxfId="162" priority="15">
      <formula>$C$16="Salaire horaire"</formula>
    </cfRule>
  </conditionalFormatting>
  <conditionalFormatting sqref="K50:P50">
    <cfRule type="expression" dxfId="161" priority="63">
      <formula>K51&gt;0.01</formula>
    </cfRule>
    <cfRule type="expression" dxfId="160" priority="64">
      <formula>K51&lt;-0.01</formula>
    </cfRule>
  </conditionalFormatting>
  <conditionalFormatting sqref="K51:P51">
    <cfRule type="cellIs" dxfId="159" priority="67" operator="lessThan">
      <formula>-0.04</formula>
    </cfRule>
    <cfRule type="cellIs" dxfId="158" priority="68" operator="greaterThan">
      <formula>0.04</formula>
    </cfRule>
  </conditionalFormatting>
  <conditionalFormatting sqref="L7">
    <cfRule type="expression" dxfId="157" priority="39">
      <formula>$C$16="à choisir"</formula>
    </cfRule>
  </conditionalFormatting>
  <conditionalFormatting sqref="L12">
    <cfRule type="expression" dxfId="156" priority="42">
      <formula>$G$10="oui"</formula>
    </cfRule>
  </conditionalFormatting>
  <conditionalFormatting sqref="M8">
    <cfRule type="expression" dxfId="155" priority="38">
      <formula>$C$16="Salaire horaire"</formula>
    </cfRule>
    <cfRule type="expression" dxfId="154" priority="37">
      <formula>$C$16="salaire mensuel"</formula>
    </cfRule>
  </conditionalFormatting>
  <conditionalFormatting sqref="M13">
    <cfRule type="expression" dxfId="153" priority="40">
      <formula>$G$10="oui"</formula>
    </cfRule>
  </conditionalFormatting>
  <conditionalFormatting sqref="P1">
    <cfRule type="containsText" dxfId="152" priority="116" operator="containsText" text="Achtung Fehler">
      <formula>NOT(ISERROR(SEARCH("Achtung Fehler",P1)))</formula>
    </cfRule>
  </conditionalFormatting>
  <conditionalFormatting sqref="P7">
    <cfRule type="expression" dxfId="151" priority="41">
      <formula>$Q$7="du Sal.horaire"</formula>
    </cfRule>
  </conditionalFormatting>
  <conditionalFormatting sqref="P10">
    <cfRule type="expression" dxfId="150" priority="43">
      <formula>$Q$10="heures"</formula>
    </cfRule>
  </conditionalFormatting>
  <conditionalFormatting sqref="Q64">
    <cfRule type="expression" dxfId="149" priority="26">
      <formula>$G$12="non"</formula>
    </cfRule>
  </conditionalFormatting>
  <conditionalFormatting sqref="S20">
    <cfRule type="beginsWith" dxfId="148" priority="5" operator="beginsWith" text="Vereinfachtes">
      <formula>LEFT(S20,LEN("Vereinfachtes"))="Vereinfachtes"</formula>
    </cfRule>
    <cfRule type="beginsWith" dxfId="147" priority="4" operator="beginsWith" text="Hinweis">
      <formula>LEFT(S20,LEN("Hinweis"))="Hinweis"</formula>
    </cfRule>
    <cfRule type="beginsWith" dxfId="146" priority="3" operator="beginsWith" text="ACHTUNG">
      <formula>LEFT(S20,LEN("ACHTUNG"))="ACHTUNG"</formula>
    </cfRule>
  </conditionalFormatting>
  <conditionalFormatting sqref="S24">
    <cfRule type="beginsWith" dxfId="145" priority="2" operator="beginsWith" text="ACHTUNG">
      <formula>LEFT(S24,LEN("ACHTUNG"))="ACHTUNG"</formula>
    </cfRule>
  </conditionalFormatting>
  <conditionalFormatting sqref="S28">
    <cfRule type="beginsWith" dxfId="144" priority="1" operator="beginsWith" text="ACHTUNG">
      <formula>LEFT(S28,LEN("ACHTUNG"))="ACHTUNG"</formula>
    </cfRule>
  </conditionalFormatting>
  <conditionalFormatting sqref="S36:S37">
    <cfRule type="beginsWith" dxfId="143" priority="6" operator="beginsWith" text="ACHTUNG">
      <formula>LEFT(S36,LEN("ACHTUNG"))="ACHTUNG"</formula>
    </cfRule>
  </conditionalFormatting>
  <conditionalFormatting sqref="W1:AJ10 W11:X12 Z11:AJ12">
    <cfRule type="expression" dxfId="142" priority="45">
      <formula>W1&lt;&gt;""</formula>
    </cfRule>
  </conditionalFormatting>
  <conditionalFormatting sqref="W13:AJ1048576">
    <cfRule type="expression" dxfId="141" priority="9">
      <formula>W13&lt;&gt;""</formula>
    </cfRule>
  </conditionalFormatting>
  <dataValidations count="7">
    <dataValidation type="list" allowBlank="1" showInputMessage="1" showErrorMessage="1" sqref="F9:G9" xr:uid="{A8150975-0CA9-45AA-9AFB-4CE034F21D2F}">
      <formula1>$AB$6:$AB$19</formula1>
    </dataValidation>
    <dataValidation type="list" allowBlank="1" showInputMessage="1" showErrorMessage="1" sqref="G10" xr:uid="{31B9789F-2F01-4B26-A4B9-DDF63667DDE8}">
      <formula1>$AC$13:$AC$14</formula1>
    </dataValidation>
    <dataValidation type="list" allowBlank="1" showInputMessage="1" showErrorMessage="1" sqref="C17" xr:uid="{2AAD202C-DBA7-4A4D-827C-C5A71EAD1F60}">
      <formula1>$Y$11:$Y$12</formula1>
    </dataValidation>
    <dataValidation type="list" allowBlank="1" showInputMessage="1" showErrorMessage="1" sqref="C10" xr:uid="{6525D9A7-06AB-4F3A-8B8E-5C662D12E6A7}">
      <formula1>$X$6:$X$8</formula1>
    </dataValidation>
    <dataValidation type="list" allowBlank="1" showInputMessage="1" showErrorMessage="1" sqref="C16" xr:uid="{911E7D08-5AFC-46CD-8E46-39A6999552C9}">
      <formula1>$X$11:$X$13</formula1>
    </dataValidation>
    <dataValidation type="list" allowBlank="1" showInputMessage="1" showErrorMessage="1" sqref="G11:G12" xr:uid="{22C3183D-C6A4-4EDC-917E-CE84B5B5D293}">
      <formula1>$AH$6:$AH$8</formula1>
    </dataValidation>
    <dataValidation type="list" allowBlank="1" showInputMessage="1" showErrorMessage="1" sqref="G13" xr:uid="{FBEAE8AD-7A05-4E92-9758-DF36134F8195}">
      <formula1>$Y$6:$Y$8</formula1>
    </dataValidation>
  </dataValidations>
  <hyperlinks>
    <hyperlink ref="P1:Q3" location="Fehler1" display="Fehler1" xr:uid="{516FD302-3D01-4015-A067-4376D8C055D9}"/>
    <hyperlink ref="G1:H3" location="Fehler1" display="Fehler1" xr:uid="{5025C042-B987-446E-BBB9-0B4B9F38A10C}"/>
  </hyperlinks>
  <pageMargins left="0.23622047244094491" right="0.23622047244094491" top="0.74803149606299213" bottom="0.74803149606299213" header="0.31496062992125984" footer="0.31496062992125984"/>
  <pageSetup paperSize="9" scale="81" fitToWidth="2" pageOrder="overThenDown" orientation="portrait" r:id="rId1"/>
  <headerFooter>
    <oddHeader>&amp;R&amp;"Arial,Standard"&amp;9Koordinationsstelle &amp;"MS Sans Serif,Standard"&amp;10
&amp;"Arial,Fett"&amp;9Berner Modell&amp;"Arial,Standard" - freie Lebensgestaltung von Menschen mit Behinderungen
HelpLine 031 300 33 70 / info@bernermodell.ch</oddHeader>
    <oddFooter>&amp;L&amp;"Arial,Standard"&amp;9Seite &amp;P von &amp;N&amp;R&amp;"Arial,Standard"&amp;9Lohnprogramm V10.0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6C16445F66C4F4B9D62229086FBE01E" ma:contentTypeVersion="18" ma:contentTypeDescription="Ein neues Dokument erstellen." ma:contentTypeScope="" ma:versionID="b202412f9e741f6a8abaed9ea1aed967">
  <xsd:schema xmlns:xsd="http://www.w3.org/2001/XMLSchema" xmlns:xs="http://www.w3.org/2001/XMLSchema" xmlns:p="http://schemas.microsoft.com/office/2006/metadata/properties" xmlns:ns2="e7104e8c-655e-4d94-82fc-6097beb82c4e" xmlns:ns3="e38c38c6-8d40-440b-9b85-500f548f7064" targetNamespace="http://schemas.microsoft.com/office/2006/metadata/properties" ma:root="true" ma:fieldsID="d529753cf57cb4dea65a59246cf4c834" ns2:_="" ns3:_="">
    <xsd:import namespace="e7104e8c-655e-4d94-82fc-6097beb82c4e"/>
    <xsd:import namespace="e38c38c6-8d40-440b-9b85-500f548f706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Bemerkung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104e8c-655e-4d94-82fc-6097beb82c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Bemerkung" ma:index="18" nillable="true" ma:displayName="Bemerkung" ma:format="Dropdown" ma:internalName="Bemerkung">
      <xsd:simpleType>
        <xsd:restriction base="dms:Text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e8e7aa3a-a37e-463a-ab31-b94c8eee42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8c38c6-8d40-440b-9b85-500f548f706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f2d1861-1e81-4169-bb52-0b4c849f8ce4}" ma:internalName="TaxCatchAll" ma:showField="CatchAllData" ma:web="e38c38c6-8d40-440b-9b85-500f548f706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emerkung xmlns="e7104e8c-655e-4d94-82fc-6097beb82c4e" xsi:nil="true"/>
    <lcf76f155ced4ddcb4097134ff3c332f xmlns="e7104e8c-655e-4d94-82fc-6097beb82c4e">
      <Terms xmlns="http://schemas.microsoft.com/office/infopath/2007/PartnerControls"/>
    </lcf76f155ced4ddcb4097134ff3c332f>
    <TaxCatchAll xmlns="e38c38c6-8d40-440b-9b85-500f548f7064" xsi:nil="true"/>
  </documentManagement>
</p:properties>
</file>

<file path=customXml/itemProps1.xml><?xml version="1.0" encoding="utf-8"?>
<ds:datastoreItem xmlns:ds="http://schemas.openxmlformats.org/officeDocument/2006/customXml" ds:itemID="{4E3177B8-67DB-44D7-8A22-0043F5C17F5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E450A2-C6B1-443B-83CF-78BD356C02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104e8c-655e-4d94-82fc-6097beb82c4e"/>
    <ds:schemaRef ds:uri="e38c38c6-8d40-440b-9b85-500f548f70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2CB667-6DD8-437A-915D-4CAF581B0462}">
  <ds:schemaRefs>
    <ds:schemaRef ds:uri="http://schemas.microsoft.com/office/2006/metadata/properties"/>
    <ds:schemaRef ds:uri="http://schemas.microsoft.com/office/infopath/2007/PartnerControls"/>
    <ds:schemaRef ds:uri="e7104e8c-655e-4d94-82fc-6097beb82c4e"/>
    <ds:schemaRef ds:uri="e38c38c6-8d40-440b-9b85-500f548f706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22</vt:i4>
      </vt:variant>
      <vt:variant>
        <vt:lpstr>Benannte Bereiche</vt:lpstr>
      </vt:variant>
      <vt:variant>
        <vt:i4>22</vt:i4>
      </vt:variant>
    </vt:vector>
  </HeadingPairs>
  <TitlesOfParts>
    <vt:vector size="44" baseType="lpstr">
      <vt:lpstr>Grundlagen</vt:lpstr>
      <vt:lpstr>Intro</vt:lpstr>
      <vt:lpstr>PA 1</vt:lpstr>
      <vt:lpstr>PA 2</vt:lpstr>
      <vt:lpstr>PA 3</vt:lpstr>
      <vt:lpstr>PA 4</vt:lpstr>
      <vt:lpstr>PA 5</vt:lpstr>
      <vt:lpstr>PA 6</vt:lpstr>
      <vt:lpstr>PA 7</vt:lpstr>
      <vt:lpstr>PA 8</vt:lpstr>
      <vt:lpstr>PA 9</vt:lpstr>
      <vt:lpstr>Attestation du salaire (simpl.)</vt:lpstr>
      <vt:lpstr>Attestation du salaire (ord.)</vt:lpstr>
      <vt:lpstr>CS 1</vt:lpstr>
      <vt:lpstr>CS 2</vt:lpstr>
      <vt:lpstr>CS 3</vt:lpstr>
      <vt:lpstr>CS 4</vt:lpstr>
      <vt:lpstr>CS 5</vt:lpstr>
      <vt:lpstr>CS 6</vt:lpstr>
      <vt:lpstr>CS 7</vt:lpstr>
      <vt:lpstr>CS 8</vt:lpstr>
      <vt:lpstr>CS 9</vt:lpstr>
      <vt:lpstr>'Attestation du salaire (ord.)'!Druckbereich</vt:lpstr>
      <vt:lpstr>'Attestation du salaire (simpl.)'!Druckbereich</vt:lpstr>
      <vt:lpstr>Intro!Druckbereich</vt:lpstr>
      <vt:lpstr>'PA 1'!Druckbereich</vt:lpstr>
      <vt:lpstr>'PA 2'!Druckbereich</vt:lpstr>
      <vt:lpstr>'PA 3'!Druckbereich</vt:lpstr>
      <vt:lpstr>'PA 4'!Druckbereich</vt:lpstr>
      <vt:lpstr>'PA 5'!Druckbereich</vt:lpstr>
      <vt:lpstr>'PA 6'!Druckbereich</vt:lpstr>
      <vt:lpstr>'PA 7'!Druckbereich</vt:lpstr>
      <vt:lpstr>'PA 8'!Druckbereich</vt:lpstr>
      <vt:lpstr>'PA 9'!Druckbereich</vt:lpstr>
      <vt:lpstr>Fehler</vt:lpstr>
      <vt:lpstr>Fehler1</vt:lpstr>
      <vt:lpstr>Fehler2</vt:lpstr>
      <vt:lpstr>Fehler3</vt:lpstr>
      <vt:lpstr>Fehler4</vt:lpstr>
      <vt:lpstr>Fehler5</vt:lpstr>
      <vt:lpstr>Fehler6</vt:lpstr>
      <vt:lpstr>Fehler7</vt:lpstr>
      <vt:lpstr>Fehler8</vt:lpstr>
      <vt:lpstr>Fehler9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Dominique Hirschi</dc:creator>
  <cp:keywords/>
  <dc:description/>
  <cp:lastModifiedBy>Kolly Petra, GSI-AIS</cp:lastModifiedBy>
  <cp:revision/>
  <cp:lastPrinted>2025-12-02T11:12:02Z</cp:lastPrinted>
  <dcterms:created xsi:type="dcterms:W3CDTF">1999-03-04T07:32:27Z</dcterms:created>
  <dcterms:modified xsi:type="dcterms:W3CDTF">2025-12-05T07:44:26Z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0x01010036C16445F66C4F4B9D62229086FBE01E</vt:lpwstr>
  </property>
  <property fmtid="{D5CDD505-2E9C-101B-9397-08002B2CF9AE}" pid="3" name="Order">
    <vt:r8>100</vt:r8>
  </property>
  <property fmtid="{D5CDD505-2E9C-101B-9397-08002B2CF9AE}" pid="4" name="_ExtendedDescription">
    <vt:lpwstr/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MediaServiceImageTags">
    <vt:lpwstr/>
  </property>
  <property fmtid="{D5CDD505-2E9C-101B-9397-08002B2CF9AE}" pid="11" name="Jet Reports Function Literals">
    <vt:lpwstr>\	;	;	{	}	[@[{0}]]	1031	2055</vt:lpwstr>
  </property>
  <property fmtid="{D5CDD505-2E9C-101B-9397-08002B2CF9AE}" pid="12" name="MSIP_Label_74fdd986-87d9-48c6-acda-407b1ab5fef0_Enabled">
    <vt:lpwstr>true</vt:lpwstr>
  </property>
  <property fmtid="{D5CDD505-2E9C-101B-9397-08002B2CF9AE}" pid="13" name="MSIP_Label_74fdd986-87d9-48c6-acda-407b1ab5fef0_SetDate">
    <vt:lpwstr>2025-12-05T07:44:22Z</vt:lpwstr>
  </property>
  <property fmtid="{D5CDD505-2E9C-101B-9397-08002B2CF9AE}" pid="14" name="MSIP_Label_74fdd986-87d9-48c6-acda-407b1ab5fef0_Method">
    <vt:lpwstr>Standard</vt:lpwstr>
  </property>
  <property fmtid="{D5CDD505-2E9C-101B-9397-08002B2CF9AE}" pid="15" name="MSIP_Label_74fdd986-87d9-48c6-acda-407b1ab5fef0_Name">
    <vt:lpwstr>NICHT KLASSIFIZIERT</vt:lpwstr>
  </property>
  <property fmtid="{D5CDD505-2E9C-101B-9397-08002B2CF9AE}" pid="16" name="MSIP_Label_74fdd986-87d9-48c6-acda-407b1ab5fef0_SiteId">
    <vt:lpwstr>cb96f99a-a111-42d7-9f65-e111197ba4bb</vt:lpwstr>
  </property>
  <property fmtid="{D5CDD505-2E9C-101B-9397-08002B2CF9AE}" pid="17" name="MSIP_Label_74fdd986-87d9-48c6-acda-407b1ab5fef0_ActionId">
    <vt:lpwstr>d9548c00-1cf5-4b30-88b5-04b7b49b0037</vt:lpwstr>
  </property>
  <property fmtid="{D5CDD505-2E9C-101B-9397-08002B2CF9AE}" pid="18" name="MSIP_Label_74fdd986-87d9-48c6-acda-407b1ab5fef0_ContentBits">
    <vt:lpwstr>0</vt:lpwstr>
  </property>
  <property fmtid="{D5CDD505-2E9C-101B-9397-08002B2CF9AE}" pid="19" name="MSIP_Label_74fdd986-87d9-48c6-acda-407b1ab5fef0_Tag">
    <vt:lpwstr>10, 3, 0, 1</vt:lpwstr>
  </property>
</Properties>
</file>